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khtuya.b\Desktop\"/>
    </mc:Choice>
  </mc:AlternateContent>
  <bookViews>
    <workbookView xWindow="240" yWindow="2565" windowWidth="10515" windowHeight="9555" activeTab="3"/>
  </bookViews>
  <sheets>
    <sheet name="өр ав" sheetId="3" r:id="rId1"/>
    <sheet name="өр авлага нэгтгэл" sheetId="8" r:id="rId2"/>
    <sheet name="үндсэн" sheetId="13" r:id="rId3"/>
    <sheet name="хөрөнгө оруулалт" sheetId="14" r:id="rId4"/>
  </sheets>
  <calcPr calcId="152511"/>
</workbook>
</file>

<file path=xl/calcChain.xml><?xml version="1.0" encoding="utf-8"?>
<calcChain xmlns="http://schemas.openxmlformats.org/spreadsheetml/2006/main">
  <c r="D50" i="8" l="1"/>
  <c r="E12" i="13"/>
  <c r="E13" i="13" l="1"/>
  <c r="E10" i="13"/>
  <c r="E14" i="13"/>
  <c r="E15" i="13"/>
  <c r="C35" i="13" l="1"/>
  <c r="C32" i="13"/>
  <c r="C34" i="13"/>
  <c r="C33" i="13"/>
  <c r="C30" i="13"/>
  <c r="I23" i="13"/>
  <c r="F23" i="13"/>
  <c r="G23" i="13"/>
  <c r="D20" i="13"/>
  <c r="E20" i="13"/>
  <c r="C22" i="13"/>
  <c r="C21" i="13"/>
  <c r="G57" i="13"/>
  <c r="F57" i="13"/>
  <c r="C20" i="13" l="1"/>
  <c r="X48" i="3"/>
  <c r="F48" i="3"/>
  <c r="U25" i="3"/>
  <c r="X24" i="3"/>
  <c r="F19" i="3"/>
  <c r="E55" i="13" l="1"/>
  <c r="F5" i="3" l="1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D5" i="3"/>
  <c r="E6" i="13" l="1"/>
  <c r="E70" i="13"/>
  <c r="E68" i="13"/>
  <c r="E64" i="13"/>
  <c r="E52" i="13"/>
  <c r="E47" i="13"/>
  <c r="E43" i="13"/>
  <c r="E36" i="13"/>
  <c r="E31" i="13"/>
  <c r="E25" i="13"/>
  <c r="E67" i="13" l="1"/>
  <c r="C7" i="14"/>
  <c r="C6" i="14" s="1"/>
  <c r="C13" i="14"/>
  <c r="C9" i="13"/>
  <c r="C11" i="13"/>
  <c r="C6" i="13"/>
  <c r="C5" i="13" s="1"/>
  <c r="C55" i="13"/>
  <c r="I13" i="13" l="1"/>
  <c r="I14" i="13"/>
  <c r="I15" i="13"/>
  <c r="I12" i="13"/>
  <c r="G21" i="13" l="1"/>
  <c r="G22" i="13"/>
  <c r="G24" i="13"/>
  <c r="G26" i="13"/>
  <c r="G27" i="13"/>
  <c r="G28" i="13"/>
  <c r="G29" i="13"/>
  <c r="G30" i="13"/>
  <c r="G32" i="13"/>
  <c r="G33" i="13"/>
  <c r="G34" i="13"/>
  <c r="G35" i="13"/>
  <c r="G37" i="13"/>
  <c r="G38" i="13"/>
  <c r="G39" i="13"/>
  <c r="G40" i="13"/>
  <c r="G41" i="13"/>
  <c r="G42" i="13"/>
  <c r="G44" i="13"/>
  <c r="G45" i="13"/>
  <c r="G46" i="13"/>
  <c r="G48" i="13"/>
  <c r="G49" i="13"/>
  <c r="G50" i="13"/>
  <c r="G51" i="13"/>
  <c r="G53" i="13"/>
  <c r="G54" i="13"/>
  <c r="G56" i="13"/>
  <c r="G58" i="13"/>
  <c r="G59" i="13"/>
  <c r="G60" i="13"/>
  <c r="G61" i="13"/>
  <c r="G62" i="13"/>
  <c r="G63" i="13"/>
  <c r="G65" i="13"/>
  <c r="G66" i="13"/>
  <c r="G69" i="13"/>
  <c r="G71" i="13"/>
  <c r="G72" i="13"/>
  <c r="G73" i="13"/>
  <c r="D70" i="13"/>
  <c r="D68" i="13"/>
  <c r="D64" i="13"/>
  <c r="D55" i="13"/>
  <c r="D52" i="13"/>
  <c r="D47" i="13"/>
  <c r="D43" i="13"/>
  <c r="D36" i="13"/>
  <c r="D31" i="13"/>
  <c r="D25" i="13"/>
  <c r="C47" i="13"/>
  <c r="F54" i="13"/>
  <c r="I54" i="13"/>
  <c r="F49" i="13"/>
  <c r="I49" i="13"/>
  <c r="F41" i="13"/>
  <c r="F40" i="13"/>
  <c r="I40" i="13"/>
  <c r="G20" i="13" l="1"/>
  <c r="G47" i="13"/>
  <c r="D67" i="13"/>
  <c r="D19" i="13"/>
  <c r="E19" i="13"/>
  <c r="E50" i="3" l="1"/>
  <c r="E53" i="3"/>
  <c r="E64" i="3"/>
  <c r="C36" i="13"/>
  <c r="C52" i="13"/>
  <c r="H47" i="13"/>
  <c r="G36" i="13" l="1"/>
  <c r="G52" i="13"/>
  <c r="F34" i="8"/>
  <c r="I41" i="13" l="1"/>
  <c r="F21" i="13" l="1"/>
  <c r="F22" i="13"/>
  <c r="F24" i="13"/>
  <c r="F20" i="13" l="1"/>
  <c r="C70" i="13"/>
  <c r="G55" i="13"/>
  <c r="G70" i="13" l="1"/>
  <c r="J16" i="13" l="1"/>
  <c r="E11" i="13" l="1"/>
  <c r="F40" i="8" l="1"/>
  <c r="C85" i="13" l="1"/>
  <c r="C83" i="13"/>
  <c r="C74" i="13"/>
  <c r="C68" i="13"/>
  <c r="C64" i="13"/>
  <c r="C43" i="13"/>
  <c r="C31" i="13"/>
  <c r="C25" i="13"/>
  <c r="G25" i="13" l="1"/>
  <c r="G68" i="13"/>
  <c r="G31" i="13"/>
  <c r="G64" i="13"/>
  <c r="G43" i="13"/>
  <c r="H43" i="13"/>
  <c r="C67" i="13"/>
  <c r="C19" i="13"/>
  <c r="G67" i="13" l="1"/>
  <c r="C18" i="13"/>
  <c r="I22" i="13"/>
  <c r="I24" i="13"/>
  <c r="I26" i="13"/>
  <c r="I27" i="13"/>
  <c r="I28" i="13"/>
  <c r="I29" i="13"/>
  <c r="I30" i="13"/>
  <c r="I32" i="13"/>
  <c r="I33" i="13"/>
  <c r="I34" i="13"/>
  <c r="I35" i="13"/>
  <c r="I37" i="13"/>
  <c r="I38" i="13"/>
  <c r="I39" i="13"/>
  <c r="I42" i="13"/>
  <c r="I44" i="13"/>
  <c r="I45" i="13"/>
  <c r="I46" i="13"/>
  <c r="I48" i="13"/>
  <c r="I50" i="13"/>
  <c r="I51" i="13"/>
  <c r="I53" i="13"/>
  <c r="I56" i="13"/>
  <c r="I58" i="13"/>
  <c r="I59" i="13"/>
  <c r="I60" i="13"/>
  <c r="I61" i="13"/>
  <c r="I62" i="13"/>
  <c r="I63" i="13"/>
  <c r="I65" i="13"/>
  <c r="I66" i="13"/>
  <c r="I69" i="13"/>
  <c r="I71" i="13"/>
  <c r="I72" i="13"/>
  <c r="I73" i="13"/>
  <c r="I21" i="13"/>
  <c r="C17" i="13" l="1"/>
  <c r="E7" i="14"/>
  <c r="C16" i="13" l="1"/>
  <c r="H69" i="13"/>
  <c r="H71" i="13"/>
  <c r="H72" i="13"/>
  <c r="H73" i="13"/>
  <c r="C2" i="13" l="1"/>
  <c r="F8" i="13"/>
  <c r="F10" i="13"/>
  <c r="G10" i="13"/>
  <c r="F12" i="13"/>
  <c r="G12" i="13"/>
  <c r="F13" i="13"/>
  <c r="G13" i="13"/>
  <c r="F15" i="13"/>
  <c r="F26" i="13"/>
  <c r="F27" i="13"/>
  <c r="F28" i="13"/>
  <c r="F29" i="13"/>
  <c r="F30" i="13"/>
  <c r="F32" i="13"/>
  <c r="F33" i="13"/>
  <c r="F34" i="13"/>
  <c r="F35" i="13"/>
  <c r="F37" i="13"/>
  <c r="F38" i="13"/>
  <c r="F39" i="13"/>
  <c r="F42" i="13"/>
  <c r="F44" i="13"/>
  <c r="F45" i="13"/>
  <c r="F46" i="13"/>
  <c r="F48" i="13"/>
  <c r="F50" i="13"/>
  <c r="F51" i="13"/>
  <c r="F53" i="13"/>
  <c r="F52" i="13" s="1"/>
  <c r="F56" i="13"/>
  <c r="F58" i="13"/>
  <c r="F59" i="13"/>
  <c r="F60" i="13"/>
  <c r="F61" i="13"/>
  <c r="F62" i="13"/>
  <c r="F63" i="13"/>
  <c r="F65" i="13"/>
  <c r="F66" i="13"/>
  <c r="F69" i="13"/>
  <c r="F68" i="13" s="1"/>
  <c r="F71" i="13"/>
  <c r="F72" i="13"/>
  <c r="F73" i="13"/>
  <c r="F7" i="13"/>
  <c r="F70" i="13" l="1"/>
  <c r="F67" i="13" s="1"/>
  <c r="F55" i="13"/>
  <c r="F47" i="13"/>
  <c r="F43" i="13"/>
  <c r="F36" i="13"/>
  <c r="F64" i="13"/>
  <c r="F31" i="13"/>
  <c r="F25" i="13"/>
  <c r="G7" i="13"/>
  <c r="F19" i="13" l="1"/>
  <c r="F18" i="13" s="1"/>
  <c r="F17" i="13" s="1"/>
  <c r="F16" i="13" s="1"/>
  <c r="I36" i="13"/>
  <c r="I55" i="13"/>
  <c r="H55" i="13"/>
  <c r="H36" i="13"/>
  <c r="D7" i="14"/>
  <c r="D6" i="14" s="1"/>
  <c r="E6" i="14"/>
  <c r="E13" i="14"/>
  <c r="E12" i="14" s="1"/>
  <c r="D13" i="14"/>
  <c r="C12" i="14"/>
  <c r="B13" i="14"/>
  <c r="B7" i="14"/>
  <c r="B6" i="14" s="1"/>
  <c r="E85" i="13"/>
  <c r="E83" i="13"/>
  <c r="E74" i="13"/>
  <c r="D74" i="13"/>
  <c r="D18" i="13" s="1"/>
  <c r="B74" i="13"/>
  <c r="B70" i="13"/>
  <c r="B68" i="13"/>
  <c r="B64" i="13"/>
  <c r="B55" i="13"/>
  <c r="B52" i="13"/>
  <c r="B47" i="13"/>
  <c r="B43" i="13"/>
  <c r="B36" i="13"/>
  <c r="B31" i="13"/>
  <c r="H25" i="13"/>
  <c r="B25" i="13"/>
  <c r="H20" i="13"/>
  <c r="B20" i="13"/>
  <c r="D11" i="13"/>
  <c r="B11" i="13"/>
  <c r="E9" i="13"/>
  <c r="D9" i="13"/>
  <c r="B9" i="13"/>
  <c r="B7" i="13"/>
  <c r="B6" i="13" s="1"/>
  <c r="D6" i="13"/>
  <c r="D17" i="13" l="1"/>
  <c r="D16" i="13" s="1"/>
  <c r="E90" i="13"/>
  <c r="E18" i="13"/>
  <c r="E17" i="13" s="1"/>
  <c r="E16" i="13" s="1"/>
  <c r="I20" i="13"/>
  <c r="B67" i="13"/>
  <c r="I31" i="13"/>
  <c r="H31" i="13"/>
  <c r="B5" i="13"/>
  <c r="I70" i="13"/>
  <c r="I68" i="13"/>
  <c r="I64" i="13"/>
  <c r="I25" i="13"/>
  <c r="B19" i="13"/>
  <c r="B18" i="13" s="1"/>
  <c r="B17" i="13" s="1"/>
  <c r="B16" i="13" s="1"/>
  <c r="I43" i="13"/>
  <c r="I47" i="13"/>
  <c r="I52" i="13"/>
  <c r="H70" i="13"/>
  <c r="H68" i="13"/>
  <c r="H64" i="13"/>
  <c r="H52" i="13"/>
  <c r="F9" i="13"/>
  <c r="G9" i="13"/>
  <c r="H19" i="13"/>
  <c r="D5" i="13"/>
  <c r="D12" i="14"/>
  <c r="D11" i="14" s="1"/>
  <c r="D10" i="14" s="1"/>
  <c r="B12" i="14"/>
  <c r="B11" i="14" s="1"/>
  <c r="B10" i="14" s="1"/>
  <c r="F6" i="13"/>
  <c r="I67" i="13" l="1"/>
  <c r="H67" i="13"/>
  <c r="G6" i="13"/>
  <c r="G19" i="13"/>
  <c r="E5" i="13"/>
  <c r="F11" i="13"/>
  <c r="G11" i="13"/>
  <c r="H16" i="13"/>
  <c r="E11" i="14"/>
  <c r="F5" i="13" l="1"/>
  <c r="G18" i="13"/>
  <c r="G5" i="13"/>
  <c r="E10" i="14"/>
  <c r="C11" i="14"/>
  <c r="G17" i="13" l="1"/>
  <c r="E17" i="14"/>
  <c r="E18" i="14" s="1"/>
  <c r="C10" i="14"/>
  <c r="E78" i="13"/>
  <c r="E79" i="13" s="1"/>
  <c r="H80" i="13" l="1"/>
  <c r="I80" i="13"/>
  <c r="G16" i="13"/>
  <c r="E32" i="3" l="1"/>
  <c r="F39" i="8"/>
  <c r="F41" i="8"/>
  <c r="E38" i="3" l="1"/>
  <c r="E44" i="3"/>
  <c r="E34" i="3"/>
  <c r="E40" i="3"/>
  <c r="E36" i="3"/>
  <c r="E41" i="3"/>
  <c r="E43" i="3"/>
  <c r="E31" i="3"/>
  <c r="E37" i="3"/>
  <c r="E33" i="3"/>
  <c r="E39" i="3"/>
  <c r="E35" i="3"/>
  <c r="E42" i="3"/>
  <c r="E30" i="3"/>
  <c r="E29" i="3"/>
  <c r="E47" i="3"/>
  <c r="E45" i="3"/>
  <c r="E46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48" i="3"/>
  <c r="E49" i="3"/>
  <c r="E65" i="3"/>
  <c r="E57" i="3"/>
  <c r="E51" i="3"/>
  <c r="E52" i="3"/>
  <c r="E54" i="3"/>
  <c r="E55" i="3"/>
  <c r="E56" i="3"/>
  <c r="E59" i="3"/>
  <c r="E60" i="3"/>
  <c r="E61" i="3"/>
  <c r="E62" i="3"/>
  <c r="E63" i="3"/>
  <c r="E58" i="3"/>
  <c r="F9" i="8"/>
  <c r="F13" i="8"/>
  <c r="F14" i="8"/>
  <c r="F15" i="8"/>
  <c r="F16" i="8"/>
  <c r="F17" i="8"/>
  <c r="F18" i="8"/>
  <c r="F19" i="8"/>
  <c r="F20" i="8"/>
  <c r="F21" i="8"/>
  <c r="F22" i="8"/>
  <c r="F24" i="8"/>
  <c r="F25" i="8"/>
  <c r="F26" i="8"/>
  <c r="F27" i="8"/>
  <c r="F31" i="8"/>
  <c r="F33" i="8"/>
  <c r="F35" i="8"/>
  <c r="F45" i="8"/>
  <c r="F36" i="8"/>
  <c r="F37" i="8"/>
  <c r="F38" i="8"/>
  <c r="F49" i="8"/>
  <c r="E49" i="8" s="1"/>
  <c r="F50" i="8"/>
  <c r="F51" i="8"/>
  <c r="D51" i="8" s="1"/>
  <c r="E5" i="3" l="1"/>
  <c r="G49" i="8"/>
  <c r="G50" i="8"/>
  <c r="E81" i="13"/>
  <c r="F6" i="8"/>
  <c r="D6" i="8" s="1"/>
  <c r="E82" i="13" l="1"/>
  <c r="F7" i="8" l="1"/>
  <c r="D52" i="8"/>
  <c r="D53" i="8"/>
  <c r="D54" i="8"/>
  <c r="D55" i="8"/>
  <c r="E46" i="8" l="1"/>
  <c r="E47" i="8"/>
  <c r="E48" i="8"/>
  <c r="E52" i="8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51" i="8"/>
  <c r="G52" i="8"/>
  <c r="G53" i="8"/>
  <c r="G54" i="8"/>
  <c r="G55" i="8"/>
  <c r="G9" i="8"/>
  <c r="E10" i="8" l="1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53" i="8"/>
  <c r="E54" i="8"/>
  <c r="E55" i="8"/>
  <c r="E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9" i="8"/>
  <c r="H7" i="8"/>
  <c r="G7" i="8"/>
  <c r="I7" i="8"/>
  <c r="D7" i="8" l="1"/>
  <c r="E7" i="8"/>
</calcChain>
</file>

<file path=xl/sharedStrings.xml><?xml version="1.0" encoding="utf-8"?>
<sst xmlns="http://schemas.openxmlformats.org/spreadsheetml/2006/main" count="420" uniqueCount="374">
  <si>
    <t xml:space="preserve">     I.  НИЙТ ЗАРЛАГА ба ЦЭВЭР ЗЭЭЛИЙН ДЇН</t>
  </si>
  <si>
    <t>Төлөвлөгөө /өссөн дүнгээр/</t>
  </si>
  <si>
    <t>Үзүүлэлт</t>
  </si>
  <si>
    <t>Гүйцэтгэл /өссөн дүнгээр/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</si>
  <si>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</si>
  <si>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</si>
  <si>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</si>
  <si>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</si>
  <si>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</si>
  <si>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</si>
  <si>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</si>
  <si>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</si>
  <si>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</si>
  <si>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</si>
  <si>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</si>
  <si>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</si>
  <si>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</si>
  <si>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</si>
  <si>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</si>
  <si>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</si>
  <si>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ХЯНАСАН:</t>
  </si>
  <si>
    <t>МЭДЭЭ ГАРГАСАН:</t>
  </si>
  <si>
    <t>ХҮЛЭЭН АВСАН:</t>
  </si>
  <si>
    <t>Байгууллагаас авах авлагын эцсийн үлдэгдэл</t>
  </si>
  <si>
    <t>Байгууллагад төлөх өглөгийн эцсийн үлдэгдэл</t>
  </si>
  <si>
    <t>ЦАГДААГИЙН ЕРӨНХИЙ ГАЗАР</t>
  </si>
  <si>
    <t>Н.АЛТАНСҮХ</t>
  </si>
  <si>
    <t>Б.ЭНХТУЯА</t>
  </si>
  <si>
    <t>Б.ДАВААЖАВ</t>
  </si>
  <si>
    <t>Хамтын ажиллагааны газар</t>
  </si>
  <si>
    <t>Дадлага сургалтын төв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</si>
  <si>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</si>
  <si>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</si>
  <si>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</si>
  <si>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</si>
  <si>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</si>
  <si>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</si>
  <si>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</si>
  <si>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</si>
  <si>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</si>
  <si>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</si>
  <si>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</si>
  <si>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</si>
  <si>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</si>
  <si>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Харилцах дансны үлдэгдэл</t>
  </si>
  <si>
    <t>БҮБЗардал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</si>
  <si>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</si>
  <si>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</si>
  <si>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</si>
  <si>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</si>
  <si>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</si>
  <si>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</si>
  <si>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</si>
  <si>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</si>
  <si>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</si>
  <si>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</si>
  <si>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</si>
  <si>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</si>
  <si>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</si>
  <si>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</si>
  <si>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</si>
  <si>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</si>
  <si>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</si>
  <si>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</si>
  <si>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</si>
  <si>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</si>
  <si>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</si>
  <si>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</si>
  <si>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</si>
  <si>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</si>
  <si>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</si>
  <si>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</si>
  <si>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</si>
  <si>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</si>
  <si>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</si>
  <si>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</si>
  <si>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</si>
  <si>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</si>
  <si>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</si>
  <si>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</si>
  <si>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</si>
  <si>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</si>
  <si>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</si>
  <si>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</si>
  <si>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</si>
  <si>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</si>
  <si>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</si>
  <si>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</si>
  <si>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</si>
  <si>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</si>
  <si>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</si>
  <si>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</si>
  <si>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</si>
  <si>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</si>
  <si>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</si>
  <si>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</si>
  <si>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</si>
  <si>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</si>
  <si>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</si>
  <si>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</si>
  <si>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</si>
  <si>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</si>
  <si>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</si>
  <si>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</si>
  <si>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</si>
  <si>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</si>
  <si>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</si>
  <si>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</si>
  <si>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</si>
  <si>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</si>
  <si>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</si>
  <si>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</si>
  <si>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</si>
  <si>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</si>
  <si>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</si>
  <si>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</si>
  <si>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</si>
  <si>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</si>
  <si>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</si>
  <si>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</si>
  <si>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</si>
  <si>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</si>
  <si>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</si>
  <si>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</si>
  <si>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</si>
  <si>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</si>
  <si>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</si>
  <si>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</si>
  <si>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</si>
  <si>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</si>
  <si>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</si>
  <si>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</si>
  <si>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</si>
  <si>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</si>
  <si>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</si>
  <si>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</si>
  <si>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</si>
  <si>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</si>
  <si>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</si>
  <si>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</si>
  <si>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</si>
  <si>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</si>
  <si>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</si>
  <si>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</si>
  <si>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</si>
  <si>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</si>
  <si>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>Баянзүрх дүүргийн цагдаагийн 1- хэлтэс</t>
  </si>
  <si>
    <t>Баянзүрх дүүргийн цагдаагийн 2- хэлтэс</t>
  </si>
  <si>
    <t>Баянзүрх дүүргийн цагдаагийн 3- хэлтэс</t>
  </si>
  <si>
    <t>Сүхбаатар дүүргийн цагдаагийн 1-р хэлтэс</t>
  </si>
  <si>
    <t>Сүхбаатар дүүргийн цагдаагийн 2-р хэлтэс</t>
  </si>
  <si>
    <t>Сонгинохайрхан дүүргийн цагдаагийн 1-р хэлтэс</t>
  </si>
  <si>
    <t>Сонгинохайрхан дүүргийн цагдаагийн 2-р хэлтэс</t>
  </si>
  <si>
    <t>Сонгинохайрхан дүүргийн цагдаагийн 3-р хэлтэс</t>
  </si>
  <si>
    <t>Баянгол дүүргийн цагдаагийн 1-р хэлтэс</t>
  </si>
  <si>
    <t>Баянгол дүүргийн цагдаагийн 2-р хэлтэс</t>
  </si>
  <si>
    <t>Хан-уул дүүргийн цагдаагийн 2-р хэлтэс</t>
  </si>
  <si>
    <t>Хан-уул дүүргийн цагдаагийн 1-р хэлтэс</t>
  </si>
  <si>
    <t>Чингэлтэй дүүргийн цагдаагийн 1-р хэлтэс</t>
  </si>
  <si>
    <t>Чингэлтэй дүүргийн цагдаагийн 2-р хэлтэс</t>
  </si>
  <si>
    <t>Нийслэлийн замын цагдаагийн газар</t>
  </si>
  <si>
    <t>Улаанбаатар хотын цагдаагийн газар</t>
  </si>
  <si>
    <t>Багахангай дүүргийн цагдаагийн тасаг</t>
  </si>
  <si>
    <t>Багануур дүүргийн цагдаагийн хэлтэс</t>
  </si>
  <si>
    <t>Налайх дүүргийн цагдаагийн хэлтэс</t>
  </si>
  <si>
    <t>Техник засварын төв</t>
  </si>
  <si>
    <t>ОНАБХ хамгаалалтын 2-р газар</t>
  </si>
  <si>
    <t>ОНАБХ хамгаалалтын 3-р газар</t>
  </si>
  <si>
    <t>Төмөр замын цагдаагийн хэлтэс</t>
  </si>
  <si>
    <t>Дэмжлэг үзүүлэх газар</t>
  </si>
  <si>
    <t>ОНАБХ хамгаалалтын 1-р газар</t>
  </si>
  <si>
    <t>Санхүү хангамжийн газар</t>
  </si>
  <si>
    <t>Сүүж-уул сэргээн засах сувилал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</si>
  <si>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</si>
  <si>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</si>
  <si>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</si>
  <si>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</si>
  <si>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</si>
  <si>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</si>
  <si>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</si>
  <si>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</si>
  <si>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</si>
  <si>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</si>
  <si>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</si>
  <si>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</si>
  <si>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</si>
  <si>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</si>
  <si>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</si>
  <si>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</si>
  <si>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</si>
  <si>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          Байрны тїрээс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</si>
  <si>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</si>
  <si>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</si>
  <si>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</si>
  <si>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</si>
  <si>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</si>
  <si>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</si>
  <si>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</si>
  <si>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Хоол, хїнс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</si>
  <si>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</si>
  <si>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</si>
  <si>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</si>
  <si>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</si>
  <si>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</si>
  <si>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</si>
  <si>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</si>
  <si>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</si>
  <si>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</si>
  <si>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</si>
  <si>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</si>
  <si>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</si>
  <si>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</si>
  <si>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</si>
  <si>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</si>
  <si>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</si>
  <si>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</si>
  <si>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</si>
  <si>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</si>
  <si>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Засгийн газрын урсгал шилжїїлэг</t>
  </si>
  <si>
    <t xml:space="preserve">                                          Засгийн газрын гадаад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</si>
  <si>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</si>
  <si>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</si>
  <si>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</si>
  <si>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</si>
  <si>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</si>
  <si>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</si>
  <si>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</si>
  <si>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</si>
  <si>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</si>
  <si>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</si>
  <si>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Нийгмийн даатгалын сангийн тєсвєєс санхїїжих</t>
  </si>
  <si>
    <t xml:space="preserve">                                          Эрїїл мэндийн даатгалын сангаас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</si>
  <si>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</si>
  <si>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</si>
  <si>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</si>
  <si>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</si>
  <si>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</si>
  <si>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</si>
  <si>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</si>
  <si>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</si>
  <si>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</si>
  <si>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</si>
  <si>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</si>
  <si>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Тээврийн хэрэгсэлийн татвар</t>
  </si>
  <si>
    <t>Норм хувцас зөөлөн эдлэл</t>
  </si>
  <si>
    <t>ТАНИЛЦСАН:</t>
  </si>
  <si>
    <t>ЦЕГ-ЫН САНХҮҮ, ХАНГАМЖИЙН ГАЗРЫН ДАРГА, ДЭД КОМИССАР</t>
  </si>
  <si>
    <t>Д.АМАРСАЙХАН</t>
  </si>
  <si>
    <t>ЦЕГ-ЫН САНХҮҮ, ХАНГАМЖИЙН ДАРГА, ДЭД КОМИССАР</t>
  </si>
  <si>
    <t>Хүч спорт хороо</t>
  </si>
  <si>
    <t>ХУУЛЬ ЗҮЙН ЯАМНЫ ТӨРИЙН САНГИЙН АХЛАХ МЭРГЭЖИЛТЭН</t>
  </si>
  <si>
    <t>Төлөвлөгөө /жилээр/</t>
  </si>
  <si>
    <t>Тээврийн хэрэгсэлийн оношлогоо</t>
  </si>
  <si>
    <t>Мандал сумын цагдаагийн хэлтэс</t>
  </si>
  <si>
    <t>Зарцуулах эрх /өссөн дүнгээр/</t>
  </si>
  <si>
    <t xml:space="preserve">                                          Хөрөнгө оруулалтын санхїїжих</t>
  </si>
  <si>
    <t>САНХҮҮГИЙН АХЛАХ МЭРГЭЖИЛТЭН, ЦАГДААГИЙН АХЛАХ ДЭСЛЭГЧ</t>
  </si>
  <si>
    <t>Эдийн засгийн ангилал, код</t>
  </si>
  <si>
    <t>Хасах: тухайн сард төлөгдсөн өглөг, авлага</t>
  </si>
  <si>
    <t>Нэмэх: Тухайн сард шинээр үүссэн өглөг авлага</t>
  </si>
  <si>
    <t>Хичээл үйлдэр-лэлийн дадлага</t>
  </si>
  <si>
    <t>Архангай аймгийн цагдаагийн газар</t>
  </si>
  <si>
    <t>Баян-Өлгий аймгийн цагдаагийн газар</t>
  </si>
  <si>
    <t>Баянхонгор аймгийн цагдаагийн газар</t>
  </si>
  <si>
    <t>Булган аймгийн цагдаагийн газар</t>
  </si>
  <si>
    <t>Говь-Алтай аймгийн цагдаагийн газар</t>
  </si>
  <si>
    <t>Дархан-Уул аймгийн цагдаагийн газар</t>
  </si>
  <si>
    <t>Дорнод аймгийн цагдаагийн газар</t>
  </si>
  <si>
    <t>Дорноговь аймгийн цагдаагийн газар</t>
  </si>
  <si>
    <t>Дундговь аймгийн цагдаагийн газар</t>
  </si>
  <si>
    <t>Завхан аймгийн цагдаагийн газар</t>
  </si>
  <si>
    <t>Орхон аймгийн цагдаагийн газар</t>
  </si>
  <si>
    <t>Өвөрхангай аймгийн цагдаагийн газар</t>
  </si>
  <si>
    <t>Өмнөговь аймгийн цагдаагийн газар</t>
  </si>
  <si>
    <t>Сүхбаатар аймгийн цагдаагийн газар</t>
  </si>
  <si>
    <t>Төв аймгийн цагдаагийн газар</t>
  </si>
  <si>
    <t>Сэлэнгэ аймгийн цагдаагийн газар</t>
  </si>
  <si>
    <t>Увс аймгийн цагдаагийн газар</t>
  </si>
  <si>
    <t>Ховд аймгийн цагдаагийн газар</t>
  </si>
  <si>
    <t>Хөвсгөл аймгийн цагдаагийн газар</t>
  </si>
  <si>
    <t>Хэнтий аймгийн цагдаагийн газар</t>
  </si>
  <si>
    <t xml:space="preserve">                                          Бусад орлого</t>
  </si>
  <si>
    <t>Мэдээлэл технологийн үйлчилгээ</t>
  </si>
  <si>
    <t>АХЛАХ МЭРГЭЖИЛТЭН, ЦАГДААГИЙН АХЛАХ ДЭСЛЭГЧ</t>
  </si>
  <si>
    <t>Говьсүмбэр аймгийн цагдаагийн хэлтэс</t>
  </si>
  <si>
    <t>ЦЕГ-ын Гэрээт алба</t>
  </si>
  <si>
    <t>ЦЕГ-ын Автобааз</t>
  </si>
  <si>
    <t>ЦЕГ-ын Холбоо хэлтэс</t>
  </si>
  <si>
    <t>Сайхан сумын цагдаагийн хэлтэс</t>
  </si>
  <si>
    <t>Замын-Үүд сумын цагдаагийн хэлтэс</t>
  </si>
  <si>
    <t>Хархорин сумын цагдаагийн хэлтэс</t>
  </si>
  <si>
    <t>Мөнгөн хөрөнгийн 2016 оны 01 -р сарын 01-ний үлдэгдэл</t>
  </si>
  <si>
    <t xml:space="preserve">                                          Даатгалын төлбөр</t>
  </si>
  <si>
    <t>Мөрдөн байцаах газар</t>
  </si>
  <si>
    <t xml:space="preserve">                                          Их засвар</t>
  </si>
  <si>
    <t>ЦЕГ-ЫН ЕРӨНХИЙ НЯГТЛАН БОДОГЧ, ЦАГДААГИЙН ДЭД ХУРАНДАА</t>
  </si>
  <si>
    <t xml:space="preserve">                                          Их засвар тоног төхөөрөмж</t>
  </si>
  <si>
    <t xml:space="preserve">                                          Хог хаягдал зайлуулах, хортон мэргэчийн утсгал</t>
  </si>
  <si>
    <t>Зочин хүлээж авах зардал</t>
  </si>
  <si>
    <t xml:space="preserve">                                          Тавилга</t>
  </si>
  <si>
    <t xml:space="preserve">                                         Зочин төлөөлөгч хүлээн авах</t>
  </si>
  <si>
    <t xml:space="preserve">                                          Ном хэвлэл</t>
  </si>
  <si>
    <t>Эрүүгийн цагдаагийн газар</t>
  </si>
  <si>
    <t xml:space="preserve">                                          Аудит, баталгаажуулалт, зэрэглэл тогтоох</t>
  </si>
  <si>
    <t>Мөнгөн хөрөнгийн 2016 оны 07-р сарын 31-ний үлдэгдэл</t>
  </si>
  <si>
    <t>Мөнгөн хөрөнгийн 2016 оны 07 -р сарын 31-ний үлдэгдэл</t>
  </si>
  <si>
    <t xml:space="preserve"> </t>
  </si>
  <si>
    <t>Дансны дугаар</t>
  </si>
  <si>
    <t>010012001</t>
  </si>
  <si>
    <t>020012001</t>
  </si>
  <si>
    <t>030012001</t>
  </si>
  <si>
    <t>040012001</t>
  </si>
  <si>
    <t>050012001</t>
  </si>
  <si>
    <t>060012001</t>
  </si>
  <si>
    <t>061412001</t>
  </si>
  <si>
    <t>070012001</t>
  </si>
  <si>
    <t>080012001</t>
  </si>
  <si>
    <t>090012001</t>
  </si>
  <si>
    <t>100012001</t>
  </si>
  <si>
    <t>101812001</t>
  </si>
  <si>
    <t>110012001</t>
  </si>
  <si>
    <t>120012001</t>
  </si>
  <si>
    <t>130012001</t>
  </si>
  <si>
    <t>130412001</t>
  </si>
  <si>
    <t>130912001</t>
  </si>
  <si>
    <t>140012001</t>
  </si>
  <si>
    <t>150012001</t>
  </si>
  <si>
    <t>160012001</t>
  </si>
  <si>
    <t>170012001</t>
  </si>
  <si>
    <t>180012001</t>
  </si>
  <si>
    <t>190012001</t>
  </si>
  <si>
    <t>200012001</t>
  </si>
  <si>
    <t>200012002</t>
  </si>
  <si>
    <t>200012004</t>
  </si>
  <si>
    <t>200012006</t>
  </si>
  <si>
    <t>200012007</t>
  </si>
  <si>
    <t>200012008</t>
  </si>
  <si>
    <t>200012009</t>
  </si>
  <si>
    <t>200012024</t>
  </si>
  <si>
    <t>200012026</t>
  </si>
  <si>
    <t>200012027</t>
  </si>
  <si>
    <t>200012028</t>
  </si>
  <si>
    <t>200012029</t>
  </si>
  <si>
    <t>200012040</t>
  </si>
  <si>
    <t>200012041</t>
  </si>
  <si>
    <t>200212001</t>
  </si>
  <si>
    <t>200412001</t>
  </si>
  <si>
    <t>200812001</t>
  </si>
  <si>
    <t>200012025</t>
  </si>
  <si>
    <t>210012001</t>
  </si>
  <si>
    <t>220012001</t>
  </si>
  <si>
    <t>900012024</t>
  </si>
  <si>
    <t>900012025</t>
  </si>
  <si>
    <t>900012027</t>
  </si>
  <si>
    <t>900012028</t>
  </si>
  <si>
    <t>900012029</t>
  </si>
  <si>
    <t>900012030</t>
  </si>
  <si>
    <t>900012032</t>
  </si>
  <si>
    <t>900012034</t>
  </si>
  <si>
    <t>900012037</t>
  </si>
  <si>
    <t>900012038</t>
  </si>
  <si>
    <t>900012040</t>
  </si>
  <si>
    <t>900012041</t>
  </si>
  <si>
    <t>900012047</t>
  </si>
  <si>
    <t>900012048</t>
  </si>
  <si>
    <t>900012026</t>
  </si>
  <si>
    <t>900012023</t>
  </si>
  <si>
    <t>ЦАГДААГИЙН ЕРӨНХИЙ ГАЗРЫН 2016 ОНЫ 08 САРЫН ТӨСВИЙН ГҮЙЦЭТГЭЛИЙН ӨР, АВЛАГЫН НЭГТГЭСЭН МЭДЭЭ</t>
  </si>
  <si>
    <t>Цагдаагийн ерөнхий газрын 2016 оны 08 дугаар сарын авлага, өглөгийн дэлгэрэнгүй мэдээ</t>
  </si>
  <si>
    <r>
      <t>2016 оны</t>
    </r>
    <r>
      <rPr>
        <b/>
        <sz val="8"/>
        <rFont val="Arial Mon"/>
        <family val="2"/>
      </rPr>
      <t xml:space="preserve"> 08</t>
    </r>
    <r>
      <rPr>
        <sz val="8"/>
        <rFont val="Arial Mon"/>
        <family val="2"/>
      </rPr>
      <t>-р сарын эхний үлдэгдэл</t>
    </r>
  </si>
  <si>
    <t>2016 оны 08-р сарын эцсийн үлдэгдэл</t>
  </si>
  <si>
    <t>ЦЕГ-ЫН ТӨВЛӨРСӨН ТӨСВИЙН ГҮЙЦЭТГЭЛИЙН 2016 ОНЫ ЭХНИЙ                                                                                             08 САРЫН НЭГТГЭСЭН МЭДЭЭ</t>
  </si>
  <si>
    <t xml:space="preserve">                                         Унаа хоолны хөнгөлөлт</t>
  </si>
  <si>
    <t>ЦЕГ-ЫН ТӨВЛӨРСӨН ТӨСВИЙН ГҮЙЦЭТГЭЛИЙН 2016 ОНЫ ЭХНИЙ                                                                                             08 САРЫН НЭГТГЭСЭН МЭДЭЭ /ХӨРӨНГӨ ОРУУЛАЛТ/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</si>
</sst>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i/>
      <sz val="8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sz val="11"/>
      <name val="Arial"/>
      <family val="2"/>
    </font>
    <font>
      <b/>
      <sz val="14"/>
      <name val="Arial"/>
      <family val="2"/>
    </font>
    <font>
      <sz val="8"/>
      <color rgb="FFFF0000"/>
      <name val="Arial"/>
      <family val="2"/>
    </font>
    <font>
      <sz val="8"/>
      <name val="FBMOArial"/>
      <family val="2"/>
      <charset val="204"/>
    </font>
    <font>
      <sz val="10"/>
      <color theme="0"/>
      <name val="Arial Mon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3" fillId="0" borderId="0"/>
    <xf numFmtId="0" fontId="12" fillId="0" borderId="0"/>
  </cellStyleXfs>
  <cellXfs count="133">
    <xf numFmtId="0" fontId="0" fillId="0" borderId="0" xfId="0"/>
    <xf numFmtId="0" fontId="3" fillId="0" borderId="1" xfId="0" applyFont="1" applyBorder="1"/>
    <xf numFmtId="43" fontId="3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/>
    <xf numFmtId="43" fontId="3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Border="1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0" fontId="6" fillId="0" borderId="0" xfId="2" applyFont="1" applyBorder="1"/>
    <xf numFmtId="164" fontId="6" fillId="0" borderId="0" xfId="1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0" fontId="8" fillId="0" borderId="1" xfId="2" applyFont="1" applyBorder="1" applyAlignment="1">
      <alignment wrapText="1"/>
    </xf>
    <xf numFmtId="0" fontId="6" fillId="0" borderId="1" xfId="2" applyFont="1" applyBorder="1" applyAlignment="1">
      <alignment wrapText="1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6" fillId="0" borderId="1" xfId="3" applyFont="1" applyBorder="1" applyAlignment="1">
      <alignment wrapText="1"/>
    </xf>
    <xf numFmtId="0" fontId="6" fillId="0" borderId="1" xfId="2" applyFont="1" applyBorder="1" applyAlignment="1">
      <alignment horizontal="center" vertical="center"/>
    </xf>
    <xf numFmtId="0" fontId="6" fillId="0" borderId="1" xfId="3" applyFont="1" applyBorder="1" applyAlignment="1">
      <alignment horizontal="left" wrapText="1"/>
    </xf>
    <xf numFmtId="0" fontId="6" fillId="0" borderId="0" xfId="4" applyFont="1"/>
    <xf numFmtId="0" fontId="6" fillId="0" borderId="0" xfId="2" applyFont="1" applyAlignment="1"/>
    <xf numFmtId="0" fontId="2" fillId="0" borderId="0" xfId="0" applyFont="1" applyAlignment="1">
      <alignment horizontal="left" vertical="center"/>
    </xf>
    <xf numFmtId="43" fontId="6" fillId="0" borderId="0" xfId="1" applyFont="1"/>
    <xf numFmtId="43" fontId="6" fillId="0" borderId="1" xfId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43" fontId="6" fillId="0" borderId="4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43" fontId="6" fillId="0" borderId="0" xfId="1" applyFont="1" applyAlignment="1"/>
    <xf numFmtId="43" fontId="7" fillId="0" borderId="0" xfId="1" applyFont="1"/>
    <xf numFmtId="0" fontId="16" fillId="0" borderId="0" xfId="0" applyFont="1"/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43" fontId="8" fillId="0" borderId="1" xfId="1" applyFont="1" applyBorder="1" applyAlignment="1"/>
    <xf numFmtId="43" fontId="6" fillId="0" borderId="1" xfId="1" applyFont="1" applyBorder="1" applyAlignment="1"/>
    <xf numFmtId="0" fontId="8" fillId="0" borderId="1" xfId="0" applyFont="1" applyBorder="1" applyAlignment="1">
      <alignment wrapText="1"/>
    </xf>
    <xf numFmtId="43" fontId="17" fillId="0" borderId="1" xfId="1" applyFont="1" applyBorder="1" applyAlignment="1"/>
    <xf numFmtId="165" fontId="6" fillId="0" borderId="1" xfId="2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43" fontId="7" fillId="0" borderId="1" xfId="1" applyFont="1" applyBorder="1"/>
    <xf numFmtId="165" fontId="8" fillId="0" borderId="1" xfId="2" applyNumberFormat="1" applyFont="1" applyBorder="1" applyAlignment="1">
      <alignment horizontal="right"/>
    </xf>
    <xf numFmtId="43" fontId="14" fillId="0" borderId="1" xfId="1" applyFont="1" applyBorder="1"/>
    <xf numFmtId="0" fontId="6" fillId="0" borderId="0" xfId="2" applyFont="1" applyBorder="1" applyAlignment="1">
      <alignment wrapText="1"/>
    </xf>
    <xf numFmtId="165" fontId="6" fillId="0" borderId="0" xfId="2" applyNumberFormat="1" applyFont="1" applyBorder="1" applyAlignment="1">
      <alignment horizontal="right"/>
    </xf>
    <xf numFmtId="43" fontId="7" fillId="0" borderId="0" xfId="1" applyFont="1" applyBorder="1"/>
    <xf numFmtId="0" fontId="18" fillId="0" borderId="0" xfId="0" applyFont="1"/>
    <xf numFmtId="0" fontId="16" fillId="0" borderId="0" xfId="0" applyFont="1" applyFill="1"/>
    <xf numFmtId="0" fontId="2" fillId="0" borderId="1" xfId="0" applyFont="1" applyFill="1" applyBorder="1" applyAlignment="1">
      <alignment vertical="center" wrapText="1"/>
    </xf>
    <xf numFmtId="43" fontId="19" fillId="0" borderId="0" xfId="1" applyFont="1"/>
    <xf numFmtId="43" fontId="19" fillId="0" borderId="0" xfId="1" applyFont="1" applyAlignment="1">
      <alignment horizontal="center"/>
    </xf>
    <xf numFmtId="0" fontId="20" fillId="0" borderId="0" xfId="0" applyFont="1" applyAlignment="1">
      <alignment horizontal="left" vertical="center"/>
    </xf>
    <xf numFmtId="43" fontId="19" fillId="0" borderId="0" xfId="1" applyFont="1" applyAlignment="1"/>
    <xf numFmtId="43" fontId="20" fillId="0" borderId="0" xfId="1" applyFont="1"/>
    <xf numFmtId="43" fontId="2" fillId="3" borderId="0" xfId="1" applyFont="1" applyFill="1" applyBorder="1" applyAlignment="1">
      <alignment horizontal="right"/>
    </xf>
    <xf numFmtId="43" fontId="6" fillId="0" borderId="1" xfId="1" applyFont="1" applyBorder="1" applyAlignment="1">
      <alignment wrapText="1"/>
    </xf>
    <xf numFmtId="0" fontId="2" fillId="0" borderId="0" xfId="0" applyFont="1" applyFill="1" applyAlignment="1">
      <alignment vertical="center" wrapText="1"/>
    </xf>
    <xf numFmtId="4" fontId="4" fillId="0" borderId="1" xfId="0" applyNumberFormat="1" applyFont="1" applyBorder="1"/>
    <xf numFmtId="0" fontId="12" fillId="0" borderId="0" xfId="2" applyFont="1" applyBorder="1" applyAlignment="1">
      <alignment wrapText="1"/>
    </xf>
    <xf numFmtId="165" fontId="12" fillId="0" borderId="0" xfId="2" applyNumberFormat="1" applyFont="1" applyBorder="1" applyAlignment="1">
      <alignment horizontal="right"/>
    </xf>
    <xf numFmtId="0" fontId="10" fillId="0" borderId="0" xfId="0" applyFont="1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right" vertical="center"/>
    </xf>
    <xf numFmtId="0" fontId="2" fillId="0" borderId="0" xfId="0" applyFont="1" applyBorder="1"/>
    <xf numFmtId="43" fontId="6" fillId="0" borderId="0" xfId="1" applyFont="1" applyBorder="1" applyAlignment="1"/>
    <xf numFmtId="0" fontId="7" fillId="0" borderId="1" xfId="0" applyFont="1" applyFill="1" applyBorder="1"/>
    <xf numFmtId="0" fontId="7" fillId="0" borderId="1" xfId="0" applyFont="1" applyBorder="1"/>
    <xf numFmtId="43" fontId="7" fillId="0" borderId="1" xfId="0" applyNumberFormat="1" applyFont="1" applyBorder="1"/>
    <xf numFmtId="0" fontId="14" fillId="0" borderId="1" xfId="0" applyFont="1" applyBorder="1"/>
    <xf numFmtId="43" fontId="16" fillId="0" borderId="0" xfId="1" applyFont="1"/>
    <xf numFmtId="43" fontId="16" fillId="0" borderId="0" xfId="1" applyFont="1" applyFill="1"/>
    <xf numFmtId="43" fontId="18" fillId="0" borderId="0" xfId="1" applyFont="1"/>
    <xf numFmtId="3" fontId="6" fillId="0" borderId="1" xfId="0" applyNumberFormat="1" applyFont="1" applyFill="1" applyBorder="1" applyAlignment="1">
      <alignment horizontal="left" vertical="center" wrapText="1"/>
    </xf>
    <xf numFmtId="165" fontId="23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43" fontId="14" fillId="0" borderId="1" xfId="0" applyNumberFormat="1" applyFont="1" applyBorder="1"/>
    <xf numFmtId="0" fontId="24" fillId="0" borderId="0" xfId="2" applyFont="1" applyBorder="1" applyAlignment="1">
      <alignment wrapText="1"/>
    </xf>
    <xf numFmtId="165" fontId="24" fillId="0" borderId="0" xfId="2" applyNumberFormat="1" applyFont="1" applyBorder="1" applyAlignment="1">
      <alignment horizontal="right"/>
    </xf>
    <xf numFmtId="43" fontId="25" fillId="3" borderId="0" xfId="1" applyFont="1" applyFill="1" applyBorder="1" applyAlignment="1">
      <alignment horizontal="right"/>
    </xf>
    <xf numFmtId="43" fontId="7" fillId="0" borderId="0" xfId="1" applyFont="1" applyFill="1"/>
    <xf numFmtId="43" fontId="14" fillId="0" borderId="0" xfId="1" applyFont="1"/>
    <xf numFmtId="43" fontId="7" fillId="4" borderId="0" xfId="1" applyFont="1" applyFill="1"/>
    <xf numFmtId="0" fontId="22" fillId="0" borderId="1" xfId="0" applyFont="1" applyFill="1" applyBorder="1" applyAlignment="1">
      <alignment vertical="center" wrapText="1"/>
    </xf>
    <xf numFmtId="43" fontId="12" fillId="0" borderId="0" xfId="1" applyFont="1" applyBorder="1"/>
    <xf numFmtId="0" fontId="12" fillId="0" borderId="0" xfId="0" applyFont="1" applyAlignment="1">
      <alignment wrapText="1"/>
    </xf>
    <xf numFmtId="0" fontId="12" fillId="0" borderId="0" xfId="0" applyFont="1"/>
    <xf numFmtId="43" fontId="14" fillId="4" borderId="0" xfId="1" applyFont="1" applyFill="1"/>
    <xf numFmtId="43" fontId="16" fillId="0" borderId="0" xfId="0" applyNumberFormat="1" applyFont="1"/>
    <xf numFmtId="43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3" fontId="2" fillId="0" borderId="1" xfId="1" applyFont="1" applyFill="1" applyBorder="1"/>
    <xf numFmtId="43" fontId="2" fillId="0" borderId="1" xfId="1" applyFont="1" applyFill="1" applyBorder="1" applyAlignment="1">
      <alignment horizontal="center" vertical="center"/>
    </xf>
    <xf numFmtId="43" fontId="22" fillId="0" borderId="1" xfId="1" applyFont="1" applyFill="1" applyBorder="1" applyAlignment="1">
      <alignment vertical="center"/>
    </xf>
    <xf numFmtId="4" fontId="23" fillId="0" borderId="1" xfId="0" applyNumberFormat="1" applyFont="1" applyBorder="1" applyAlignment="1"/>
    <xf numFmtId="4" fontId="8" fillId="0" borderId="1" xfId="1" applyNumberFormat="1" applyFont="1" applyBorder="1" applyAlignment="1"/>
    <xf numFmtId="0" fontId="6" fillId="0" borderId="0" xfId="0" applyFont="1" applyBorder="1"/>
    <xf numFmtId="0" fontId="6" fillId="0" borderId="0" xfId="0" applyFont="1"/>
    <xf numFmtId="0" fontId="19" fillId="0" borderId="0" xfId="4" applyFont="1" applyAlignment="1">
      <alignment horizontal="left"/>
    </xf>
    <xf numFmtId="43" fontId="6" fillId="0" borderId="0" xfId="1" applyFont="1" applyBorder="1"/>
    <xf numFmtId="0" fontId="19" fillId="0" borderId="0" xfId="0" applyFont="1"/>
    <xf numFmtId="43" fontId="8" fillId="0" borderId="0" xfId="1" applyFont="1" applyBorder="1"/>
    <xf numFmtId="43" fontId="10" fillId="3" borderId="0" xfId="1" applyFont="1" applyFill="1" applyBorder="1" applyAlignment="1">
      <alignment horizontal="right"/>
    </xf>
    <xf numFmtId="0" fontId="21" fillId="0" borderId="0" xfId="0" applyFont="1" applyFill="1" applyAlignment="1">
      <alignment horizontal="center" vertical="center"/>
    </xf>
    <xf numFmtId="0" fontId="11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 textRotation="90" wrapText="1"/>
    </xf>
    <xf numFmtId="43" fontId="6" fillId="0" borderId="5" xfId="1" applyFont="1" applyBorder="1" applyAlignment="1">
      <alignment horizontal="center" vertical="center" textRotation="90" wrapText="1"/>
    </xf>
    <xf numFmtId="0" fontId="6" fillId="0" borderId="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2" fillId="0" borderId="0" xfId="2" applyFont="1" applyBorder="1" applyAlignment="1">
      <alignment horizontal="left" wrapText="1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"/>
  <sheetViews>
    <sheetView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E12" sqref="E12"/>
    </sheetView>
  </sheetViews>
  <sheetFormatPr defaultRowHeight="11.25"/>
  <cols>
    <col min="1" max="1" width="3" style="76" customWidth="1"/>
    <col min="2" max="2" width="10.28515625" style="76" customWidth="1"/>
    <col min="3" max="3" width="17" style="70" customWidth="1"/>
    <col min="4" max="4" width="12.5703125" style="76" bestFit="1" customWidth="1"/>
    <col min="5" max="6" width="14" style="76" bestFit="1" customWidth="1"/>
    <col min="7" max="7" width="3.7109375" style="76" customWidth="1"/>
    <col min="8" max="8" width="15" style="76" bestFit="1" customWidth="1"/>
    <col min="9" max="9" width="11.5703125" style="76" customWidth="1"/>
    <col min="10" max="10" width="12.5703125" style="76" bestFit="1" customWidth="1"/>
    <col min="11" max="11" width="11.7109375" style="76" bestFit="1" customWidth="1"/>
    <col min="12" max="13" width="12" style="76" bestFit="1" customWidth="1"/>
    <col min="14" max="14" width="11.85546875" style="76" customWidth="1"/>
    <col min="15" max="15" width="10.85546875" style="76" customWidth="1"/>
    <col min="16" max="16" width="11" style="76" customWidth="1"/>
    <col min="17" max="17" width="11.140625" style="76" bestFit="1" customWidth="1"/>
    <col min="18" max="18" width="9.85546875" style="76" bestFit="1" customWidth="1"/>
    <col min="19" max="19" width="12" style="76" bestFit="1" customWidth="1"/>
    <col min="20" max="20" width="3.28515625" style="76" customWidth="1"/>
    <col min="21" max="21" width="12" style="76" bestFit="1" customWidth="1"/>
    <col min="22" max="22" width="11.140625" style="76" bestFit="1" customWidth="1"/>
    <col min="23" max="23" width="3.5703125" style="76" customWidth="1"/>
    <col min="24" max="24" width="11.85546875" style="76" customWidth="1"/>
    <col min="25" max="25" width="4.140625" style="76" customWidth="1"/>
    <col min="26" max="26" width="10.85546875" style="76" bestFit="1" customWidth="1"/>
    <col min="27" max="28" width="11.140625" style="76" bestFit="1" customWidth="1"/>
    <col min="29" max="29" width="10" style="76" customWidth="1"/>
    <col min="30" max="30" width="9.85546875" style="76" bestFit="1" customWidth="1"/>
    <col min="31" max="31" width="10.85546875" style="76" bestFit="1" customWidth="1"/>
    <col min="32" max="32" width="13.85546875" style="76" customWidth="1"/>
    <col min="33" max="33" width="12.28515625" style="76" customWidth="1"/>
    <col min="34" max="34" width="9.5703125" style="76" customWidth="1"/>
    <col min="35" max="274" width="9.140625" style="76"/>
    <col min="275" max="275" width="10.28515625" style="76" customWidth="1"/>
    <col min="276" max="276" width="0" style="76" hidden="1" customWidth="1"/>
    <col min="277" max="277" width="11.42578125" style="76" customWidth="1"/>
    <col min="278" max="278" width="10.85546875" style="76" bestFit="1" customWidth="1"/>
    <col min="279" max="279" width="10" style="76" bestFit="1" customWidth="1"/>
    <col min="280" max="280" width="8.42578125" style="76" bestFit="1" customWidth="1"/>
    <col min="281" max="281" width="8.42578125" style="76" customWidth="1"/>
    <col min="282" max="282" width="9.28515625" style="76" customWidth="1"/>
    <col min="283" max="283" width="8.85546875" style="76" customWidth="1"/>
    <col min="284" max="284" width="9.140625" style="76" customWidth="1"/>
    <col min="285" max="285" width="8.5703125" style="76" customWidth="1"/>
    <col min="286" max="286" width="9" style="76" customWidth="1"/>
    <col min="287" max="287" width="7" style="76" customWidth="1"/>
    <col min="288" max="288" width="9.42578125" style="76" customWidth="1"/>
    <col min="289" max="289" width="8.85546875" style="76" customWidth="1"/>
    <col min="290" max="290" width="11.7109375" style="76" customWidth="1"/>
    <col min="291" max="530" width="9.140625" style="76"/>
    <col min="531" max="531" width="10.28515625" style="76" customWidth="1"/>
    <col min="532" max="532" width="0" style="76" hidden="1" customWidth="1"/>
    <col min="533" max="533" width="11.42578125" style="76" customWidth="1"/>
    <col min="534" max="534" width="10.85546875" style="76" bestFit="1" customWidth="1"/>
    <col min="535" max="535" width="10" style="76" bestFit="1" customWidth="1"/>
    <col min="536" max="536" width="8.42578125" style="76" bestFit="1" customWidth="1"/>
    <col min="537" max="537" width="8.42578125" style="76" customWidth="1"/>
    <col min="538" max="538" width="9.28515625" style="76" customWidth="1"/>
    <col min="539" max="539" width="8.85546875" style="76" customWidth="1"/>
    <col min="540" max="540" width="9.140625" style="76" customWidth="1"/>
    <col min="541" max="541" width="8.5703125" style="76" customWidth="1"/>
    <col min="542" max="542" width="9" style="76" customWidth="1"/>
    <col min="543" max="543" width="7" style="76" customWidth="1"/>
    <col min="544" max="544" width="9.42578125" style="76" customWidth="1"/>
    <col min="545" max="545" width="8.85546875" style="76" customWidth="1"/>
    <col min="546" max="546" width="11.7109375" style="76" customWidth="1"/>
    <col min="547" max="786" width="9.140625" style="76"/>
    <col min="787" max="787" width="10.28515625" style="76" customWidth="1"/>
    <col min="788" max="788" width="0" style="76" hidden="1" customWidth="1"/>
    <col min="789" max="789" width="11.42578125" style="76" customWidth="1"/>
    <col min="790" max="790" width="10.85546875" style="76" bestFit="1" customWidth="1"/>
    <col min="791" max="791" width="10" style="76" bestFit="1" customWidth="1"/>
    <col min="792" max="792" width="8.42578125" style="76" bestFit="1" customWidth="1"/>
    <col min="793" max="793" width="8.42578125" style="76" customWidth="1"/>
    <col min="794" max="794" width="9.28515625" style="76" customWidth="1"/>
    <col min="795" max="795" width="8.85546875" style="76" customWidth="1"/>
    <col min="796" max="796" width="9.140625" style="76" customWidth="1"/>
    <col min="797" max="797" width="8.5703125" style="76" customWidth="1"/>
    <col min="798" max="798" width="9" style="76" customWidth="1"/>
    <col min="799" max="799" width="7" style="76" customWidth="1"/>
    <col min="800" max="800" width="9.42578125" style="76" customWidth="1"/>
    <col min="801" max="801" width="8.85546875" style="76" customWidth="1"/>
    <col min="802" max="802" width="11.7109375" style="76" customWidth="1"/>
    <col min="803" max="1042" width="9.140625" style="76"/>
    <col min="1043" max="1043" width="10.28515625" style="76" customWidth="1"/>
    <col min="1044" max="1044" width="0" style="76" hidden="1" customWidth="1"/>
    <col min="1045" max="1045" width="11.42578125" style="76" customWidth="1"/>
    <col min="1046" max="1046" width="10.85546875" style="76" bestFit="1" customWidth="1"/>
    <col min="1047" max="1047" width="10" style="76" bestFit="1" customWidth="1"/>
    <col min="1048" max="1048" width="8.42578125" style="76" bestFit="1" customWidth="1"/>
    <col min="1049" max="1049" width="8.42578125" style="76" customWidth="1"/>
    <col min="1050" max="1050" width="9.28515625" style="76" customWidth="1"/>
    <col min="1051" max="1051" width="8.85546875" style="76" customWidth="1"/>
    <col min="1052" max="1052" width="9.140625" style="76" customWidth="1"/>
    <col min="1053" max="1053" width="8.5703125" style="76" customWidth="1"/>
    <col min="1054" max="1054" width="9" style="76" customWidth="1"/>
    <col min="1055" max="1055" width="7" style="76" customWidth="1"/>
    <col min="1056" max="1056" width="9.42578125" style="76" customWidth="1"/>
    <col min="1057" max="1057" width="8.85546875" style="76" customWidth="1"/>
    <col min="1058" max="1058" width="11.7109375" style="76" customWidth="1"/>
    <col min="1059" max="1298" width="9.140625" style="76"/>
    <col min="1299" max="1299" width="10.28515625" style="76" customWidth="1"/>
    <col min="1300" max="1300" width="0" style="76" hidden="1" customWidth="1"/>
    <col min="1301" max="1301" width="11.42578125" style="76" customWidth="1"/>
    <col min="1302" max="1302" width="10.85546875" style="76" bestFit="1" customWidth="1"/>
    <col min="1303" max="1303" width="10" style="76" bestFit="1" customWidth="1"/>
    <col min="1304" max="1304" width="8.42578125" style="76" bestFit="1" customWidth="1"/>
    <col min="1305" max="1305" width="8.42578125" style="76" customWidth="1"/>
    <col min="1306" max="1306" width="9.28515625" style="76" customWidth="1"/>
    <col min="1307" max="1307" width="8.85546875" style="76" customWidth="1"/>
    <col min="1308" max="1308" width="9.140625" style="76" customWidth="1"/>
    <col min="1309" max="1309" width="8.5703125" style="76" customWidth="1"/>
    <col min="1310" max="1310" width="9" style="76" customWidth="1"/>
    <col min="1311" max="1311" width="7" style="76" customWidth="1"/>
    <col min="1312" max="1312" width="9.42578125" style="76" customWidth="1"/>
    <col min="1313" max="1313" width="8.85546875" style="76" customWidth="1"/>
    <col min="1314" max="1314" width="11.7109375" style="76" customWidth="1"/>
    <col min="1315" max="1554" width="9.140625" style="76"/>
    <col min="1555" max="1555" width="10.28515625" style="76" customWidth="1"/>
    <col min="1556" max="1556" width="0" style="76" hidden="1" customWidth="1"/>
    <col min="1557" max="1557" width="11.42578125" style="76" customWidth="1"/>
    <col min="1558" max="1558" width="10.85546875" style="76" bestFit="1" customWidth="1"/>
    <col min="1559" max="1559" width="10" style="76" bestFit="1" customWidth="1"/>
    <col min="1560" max="1560" width="8.42578125" style="76" bestFit="1" customWidth="1"/>
    <col min="1561" max="1561" width="8.42578125" style="76" customWidth="1"/>
    <col min="1562" max="1562" width="9.28515625" style="76" customWidth="1"/>
    <col min="1563" max="1563" width="8.85546875" style="76" customWidth="1"/>
    <col min="1564" max="1564" width="9.140625" style="76" customWidth="1"/>
    <col min="1565" max="1565" width="8.5703125" style="76" customWidth="1"/>
    <col min="1566" max="1566" width="9" style="76" customWidth="1"/>
    <col min="1567" max="1567" width="7" style="76" customWidth="1"/>
    <col min="1568" max="1568" width="9.42578125" style="76" customWidth="1"/>
    <col min="1569" max="1569" width="8.85546875" style="76" customWidth="1"/>
    <col min="1570" max="1570" width="11.7109375" style="76" customWidth="1"/>
    <col min="1571" max="1810" width="9.140625" style="76"/>
    <col min="1811" max="1811" width="10.28515625" style="76" customWidth="1"/>
    <col min="1812" max="1812" width="0" style="76" hidden="1" customWidth="1"/>
    <col min="1813" max="1813" width="11.42578125" style="76" customWidth="1"/>
    <col min="1814" max="1814" width="10.85546875" style="76" bestFit="1" customWidth="1"/>
    <col min="1815" max="1815" width="10" style="76" bestFit="1" customWidth="1"/>
    <col min="1816" max="1816" width="8.42578125" style="76" bestFit="1" customWidth="1"/>
    <col min="1817" max="1817" width="8.42578125" style="76" customWidth="1"/>
    <col min="1818" max="1818" width="9.28515625" style="76" customWidth="1"/>
    <col min="1819" max="1819" width="8.85546875" style="76" customWidth="1"/>
    <col min="1820" max="1820" width="9.140625" style="76" customWidth="1"/>
    <col min="1821" max="1821" width="8.5703125" style="76" customWidth="1"/>
    <col min="1822" max="1822" width="9" style="76" customWidth="1"/>
    <col min="1823" max="1823" width="7" style="76" customWidth="1"/>
    <col min="1824" max="1824" width="9.42578125" style="76" customWidth="1"/>
    <col min="1825" max="1825" width="8.85546875" style="76" customWidth="1"/>
    <col min="1826" max="1826" width="11.7109375" style="76" customWidth="1"/>
    <col min="1827" max="2066" width="9.140625" style="76"/>
    <col min="2067" max="2067" width="10.28515625" style="76" customWidth="1"/>
    <col min="2068" max="2068" width="0" style="76" hidden="1" customWidth="1"/>
    <col min="2069" max="2069" width="11.42578125" style="76" customWidth="1"/>
    <col min="2070" max="2070" width="10.85546875" style="76" bestFit="1" customWidth="1"/>
    <col min="2071" max="2071" width="10" style="76" bestFit="1" customWidth="1"/>
    <col min="2072" max="2072" width="8.42578125" style="76" bestFit="1" customWidth="1"/>
    <col min="2073" max="2073" width="8.42578125" style="76" customWidth="1"/>
    <col min="2074" max="2074" width="9.28515625" style="76" customWidth="1"/>
    <col min="2075" max="2075" width="8.85546875" style="76" customWidth="1"/>
    <col min="2076" max="2076" width="9.140625" style="76" customWidth="1"/>
    <col min="2077" max="2077" width="8.5703125" style="76" customWidth="1"/>
    <col min="2078" max="2078" width="9" style="76" customWidth="1"/>
    <col min="2079" max="2079" width="7" style="76" customWidth="1"/>
    <col min="2080" max="2080" width="9.42578125" style="76" customWidth="1"/>
    <col min="2081" max="2081" width="8.85546875" style="76" customWidth="1"/>
    <col min="2082" max="2082" width="11.7109375" style="76" customWidth="1"/>
    <col min="2083" max="2322" width="9.140625" style="76"/>
    <col min="2323" max="2323" width="10.28515625" style="76" customWidth="1"/>
    <col min="2324" max="2324" width="0" style="76" hidden="1" customWidth="1"/>
    <col min="2325" max="2325" width="11.42578125" style="76" customWidth="1"/>
    <col min="2326" max="2326" width="10.85546875" style="76" bestFit="1" customWidth="1"/>
    <col min="2327" max="2327" width="10" style="76" bestFit="1" customWidth="1"/>
    <col min="2328" max="2328" width="8.42578125" style="76" bestFit="1" customWidth="1"/>
    <col min="2329" max="2329" width="8.42578125" style="76" customWidth="1"/>
    <col min="2330" max="2330" width="9.28515625" style="76" customWidth="1"/>
    <col min="2331" max="2331" width="8.85546875" style="76" customWidth="1"/>
    <col min="2332" max="2332" width="9.140625" style="76" customWidth="1"/>
    <col min="2333" max="2333" width="8.5703125" style="76" customWidth="1"/>
    <col min="2334" max="2334" width="9" style="76" customWidth="1"/>
    <col min="2335" max="2335" width="7" style="76" customWidth="1"/>
    <col min="2336" max="2336" width="9.42578125" style="76" customWidth="1"/>
    <col min="2337" max="2337" width="8.85546875" style="76" customWidth="1"/>
    <col min="2338" max="2338" width="11.7109375" style="76" customWidth="1"/>
    <col min="2339" max="2578" width="9.140625" style="76"/>
    <col min="2579" max="2579" width="10.28515625" style="76" customWidth="1"/>
    <col min="2580" max="2580" width="0" style="76" hidden="1" customWidth="1"/>
    <col min="2581" max="2581" width="11.42578125" style="76" customWidth="1"/>
    <col min="2582" max="2582" width="10.85546875" style="76" bestFit="1" customWidth="1"/>
    <col min="2583" max="2583" width="10" style="76" bestFit="1" customWidth="1"/>
    <col min="2584" max="2584" width="8.42578125" style="76" bestFit="1" customWidth="1"/>
    <col min="2585" max="2585" width="8.42578125" style="76" customWidth="1"/>
    <col min="2586" max="2586" width="9.28515625" style="76" customWidth="1"/>
    <col min="2587" max="2587" width="8.85546875" style="76" customWidth="1"/>
    <col min="2588" max="2588" width="9.140625" style="76" customWidth="1"/>
    <col min="2589" max="2589" width="8.5703125" style="76" customWidth="1"/>
    <col min="2590" max="2590" width="9" style="76" customWidth="1"/>
    <col min="2591" max="2591" width="7" style="76" customWidth="1"/>
    <col min="2592" max="2592" width="9.42578125" style="76" customWidth="1"/>
    <col min="2593" max="2593" width="8.85546875" style="76" customWidth="1"/>
    <col min="2594" max="2594" width="11.7109375" style="76" customWidth="1"/>
    <col min="2595" max="2834" width="9.140625" style="76"/>
    <col min="2835" max="2835" width="10.28515625" style="76" customWidth="1"/>
    <col min="2836" max="2836" width="0" style="76" hidden="1" customWidth="1"/>
    <col min="2837" max="2837" width="11.42578125" style="76" customWidth="1"/>
    <col min="2838" max="2838" width="10.85546875" style="76" bestFit="1" customWidth="1"/>
    <col min="2839" max="2839" width="10" style="76" bestFit="1" customWidth="1"/>
    <col min="2840" max="2840" width="8.42578125" style="76" bestFit="1" customWidth="1"/>
    <col min="2841" max="2841" width="8.42578125" style="76" customWidth="1"/>
    <col min="2842" max="2842" width="9.28515625" style="76" customWidth="1"/>
    <col min="2843" max="2843" width="8.85546875" style="76" customWidth="1"/>
    <col min="2844" max="2844" width="9.140625" style="76" customWidth="1"/>
    <col min="2845" max="2845" width="8.5703125" style="76" customWidth="1"/>
    <col min="2846" max="2846" width="9" style="76" customWidth="1"/>
    <col min="2847" max="2847" width="7" style="76" customWidth="1"/>
    <col min="2848" max="2848" width="9.42578125" style="76" customWidth="1"/>
    <col min="2849" max="2849" width="8.85546875" style="76" customWidth="1"/>
    <col min="2850" max="2850" width="11.7109375" style="76" customWidth="1"/>
    <col min="2851" max="3090" width="9.140625" style="76"/>
    <col min="3091" max="3091" width="10.28515625" style="76" customWidth="1"/>
    <col min="3092" max="3092" width="0" style="76" hidden="1" customWidth="1"/>
    <col min="3093" max="3093" width="11.42578125" style="76" customWidth="1"/>
    <col min="3094" max="3094" width="10.85546875" style="76" bestFit="1" customWidth="1"/>
    <col min="3095" max="3095" width="10" style="76" bestFit="1" customWidth="1"/>
    <col min="3096" max="3096" width="8.42578125" style="76" bestFit="1" customWidth="1"/>
    <col min="3097" max="3097" width="8.42578125" style="76" customWidth="1"/>
    <col min="3098" max="3098" width="9.28515625" style="76" customWidth="1"/>
    <col min="3099" max="3099" width="8.85546875" style="76" customWidth="1"/>
    <col min="3100" max="3100" width="9.140625" style="76" customWidth="1"/>
    <col min="3101" max="3101" width="8.5703125" style="76" customWidth="1"/>
    <col min="3102" max="3102" width="9" style="76" customWidth="1"/>
    <col min="3103" max="3103" width="7" style="76" customWidth="1"/>
    <col min="3104" max="3104" width="9.42578125" style="76" customWidth="1"/>
    <col min="3105" max="3105" width="8.85546875" style="76" customWidth="1"/>
    <col min="3106" max="3106" width="11.7109375" style="76" customWidth="1"/>
    <col min="3107" max="3346" width="9.140625" style="76"/>
    <col min="3347" max="3347" width="10.28515625" style="76" customWidth="1"/>
    <col min="3348" max="3348" width="0" style="76" hidden="1" customWidth="1"/>
    <col min="3349" max="3349" width="11.42578125" style="76" customWidth="1"/>
    <col min="3350" max="3350" width="10.85546875" style="76" bestFit="1" customWidth="1"/>
    <col min="3351" max="3351" width="10" style="76" bestFit="1" customWidth="1"/>
    <col min="3352" max="3352" width="8.42578125" style="76" bestFit="1" customWidth="1"/>
    <col min="3353" max="3353" width="8.42578125" style="76" customWidth="1"/>
    <col min="3354" max="3354" width="9.28515625" style="76" customWidth="1"/>
    <col min="3355" max="3355" width="8.85546875" style="76" customWidth="1"/>
    <col min="3356" max="3356" width="9.140625" style="76" customWidth="1"/>
    <col min="3357" max="3357" width="8.5703125" style="76" customWidth="1"/>
    <col min="3358" max="3358" width="9" style="76" customWidth="1"/>
    <col min="3359" max="3359" width="7" style="76" customWidth="1"/>
    <col min="3360" max="3360" width="9.42578125" style="76" customWidth="1"/>
    <col min="3361" max="3361" width="8.85546875" style="76" customWidth="1"/>
    <col min="3362" max="3362" width="11.7109375" style="76" customWidth="1"/>
    <col min="3363" max="3602" width="9.140625" style="76"/>
    <col min="3603" max="3603" width="10.28515625" style="76" customWidth="1"/>
    <col min="3604" max="3604" width="0" style="76" hidden="1" customWidth="1"/>
    <col min="3605" max="3605" width="11.42578125" style="76" customWidth="1"/>
    <col min="3606" max="3606" width="10.85546875" style="76" bestFit="1" customWidth="1"/>
    <col min="3607" max="3607" width="10" style="76" bestFit="1" customWidth="1"/>
    <col min="3608" max="3608" width="8.42578125" style="76" bestFit="1" customWidth="1"/>
    <col min="3609" max="3609" width="8.42578125" style="76" customWidth="1"/>
    <col min="3610" max="3610" width="9.28515625" style="76" customWidth="1"/>
    <col min="3611" max="3611" width="8.85546875" style="76" customWidth="1"/>
    <col min="3612" max="3612" width="9.140625" style="76" customWidth="1"/>
    <col min="3613" max="3613" width="8.5703125" style="76" customWidth="1"/>
    <col min="3614" max="3614" width="9" style="76" customWidth="1"/>
    <col min="3615" max="3615" width="7" style="76" customWidth="1"/>
    <col min="3616" max="3616" width="9.42578125" style="76" customWidth="1"/>
    <col min="3617" max="3617" width="8.85546875" style="76" customWidth="1"/>
    <col min="3618" max="3618" width="11.7109375" style="76" customWidth="1"/>
    <col min="3619" max="3858" width="9.140625" style="76"/>
    <col min="3859" max="3859" width="10.28515625" style="76" customWidth="1"/>
    <col min="3860" max="3860" width="0" style="76" hidden="1" customWidth="1"/>
    <col min="3861" max="3861" width="11.42578125" style="76" customWidth="1"/>
    <col min="3862" max="3862" width="10.85546875" style="76" bestFit="1" customWidth="1"/>
    <col min="3863" max="3863" width="10" style="76" bestFit="1" customWidth="1"/>
    <col min="3864" max="3864" width="8.42578125" style="76" bestFit="1" customWidth="1"/>
    <col min="3865" max="3865" width="8.42578125" style="76" customWidth="1"/>
    <col min="3866" max="3866" width="9.28515625" style="76" customWidth="1"/>
    <col min="3867" max="3867" width="8.85546875" style="76" customWidth="1"/>
    <col min="3868" max="3868" width="9.140625" style="76" customWidth="1"/>
    <col min="3869" max="3869" width="8.5703125" style="76" customWidth="1"/>
    <col min="3870" max="3870" width="9" style="76" customWidth="1"/>
    <col min="3871" max="3871" width="7" style="76" customWidth="1"/>
    <col min="3872" max="3872" width="9.42578125" style="76" customWidth="1"/>
    <col min="3873" max="3873" width="8.85546875" style="76" customWidth="1"/>
    <col min="3874" max="3874" width="11.7109375" style="76" customWidth="1"/>
    <col min="3875" max="4114" width="9.140625" style="76"/>
    <col min="4115" max="4115" width="10.28515625" style="76" customWidth="1"/>
    <col min="4116" max="4116" width="0" style="76" hidden="1" customWidth="1"/>
    <col min="4117" max="4117" width="11.42578125" style="76" customWidth="1"/>
    <col min="4118" max="4118" width="10.85546875" style="76" bestFit="1" customWidth="1"/>
    <col min="4119" max="4119" width="10" style="76" bestFit="1" customWidth="1"/>
    <col min="4120" max="4120" width="8.42578125" style="76" bestFit="1" customWidth="1"/>
    <col min="4121" max="4121" width="8.42578125" style="76" customWidth="1"/>
    <col min="4122" max="4122" width="9.28515625" style="76" customWidth="1"/>
    <col min="4123" max="4123" width="8.85546875" style="76" customWidth="1"/>
    <col min="4124" max="4124" width="9.140625" style="76" customWidth="1"/>
    <col min="4125" max="4125" width="8.5703125" style="76" customWidth="1"/>
    <col min="4126" max="4126" width="9" style="76" customWidth="1"/>
    <col min="4127" max="4127" width="7" style="76" customWidth="1"/>
    <col min="4128" max="4128" width="9.42578125" style="76" customWidth="1"/>
    <col min="4129" max="4129" width="8.85546875" style="76" customWidth="1"/>
    <col min="4130" max="4130" width="11.7109375" style="76" customWidth="1"/>
    <col min="4131" max="4370" width="9.140625" style="76"/>
    <col min="4371" max="4371" width="10.28515625" style="76" customWidth="1"/>
    <col min="4372" max="4372" width="0" style="76" hidden="1" customWidth="1"/>
    <col min="4373" max="4373" width="11.42578125" style="76" customWidth="1"/>
    <col min="4374" max="4374" width="10.85546875" style="76" bestFit="1" customWidth="1"/>
    <col min="4375" max="4375" width="10" style="76" bestFit="1" customWidth="1"/>
    <col min="4376" max="4376" width="8.42578125" style="76" bestFit="1" customWidth="1"/>
    <col min="4377" max="4377" width="8.42578125" style="76" customWidth="1"/>
    <col min="4378" max="4378" width="9.28515625" style="76" customWidth="1"/>
    <col min="4379" max="4379" width="8.85546875" style="76" customWidth="1"/>
    <col min="4380" max="4380" width="9.140625" style="76" customWidth="1"/>
    <col min="4381" max="4381" width="8.5703125" style="76" customWidth="1"/>
    <col min="4382" max="4382" width="9" style="76" customWidth="1"/>
    <col min="4383" max="4383" width="7" style="76" customWidth="1"/>
    <col min="4384" max="4384" width="9.42578125" style="76" customWidth="1"/>
    <col min="4385" max="4385" width="8.85546875" style="76" customWidth="1"/>
    <col min="4386" max="4386" width="11.7109375" style="76" customWidth="1"/>
    <col min="4387" max="4626" width="9.140625" style="76"/>
    <col min="4627" max="4627" width="10.28515625" style="76" customWidth="1"/>
    <col min="4628" max="4628" width="0" style="76" hidden="1" customWidth="1"/>
    <col min="4629" max="4629" width="11.42578125" style="76" customWidth="1"/>
    <col min="4630" max="4630" width="10.85546875" style="76" bestFit="1" customWidth="1"/>
    <col min="4631" max="4631" width="10" style="76" bestFit="1" customWidth="1"/>
    <col min="4632" max="4632" width="8.42578125" style="76" bestFit="1" customWidth="1"/>
    <col min="4633" max="4633" width="8.42578125" style="76" customWidth="1"/>
    <col min="4634" max="4634" width="9.28515625" style="76" customWidth="1"/>
    <col min="4635" max="4635" width="8.85546875" style="76" customWidth="1"/>
    <col min="4636" max="4636" width="9.140625" style="76" customWidth="1"/>
    <col min="4637" max="4637" width="8.5703125" style="76" customWidth="1"/>
    <col min="4638" max="4638" width="9" style="76" customWidth="1"/>
    <col min="4639" max="4639" width="7" style="76" customWidth="1"/>
    <col min="4640" max="4640" width="9.42578125" style="76" customWidth="1"/>
    <col min="4641" max="4641" width="8.85546875" style="76" customWidth="1"/>
    <col min="4642" max="4642" width="11.7109375" style="76" customWidth="1"/>
    <col min="4643" max="4882" width="9.140625" style="76"/>
    <col min="4883" max="4883" width="10.28515625" style="76" customWidth="1"/>
    <col min="4884" max="4884" width="0" style="76" hidden="1" customWidth="1"/>
    <col min="4885" max="4885" width="11.42578125" style="76" customWidth="1"/>
    <col min="4886" max="4886" width="10.85546875" style="76" bestFit="1" customWidth="1"/>
    <col min="4887" max="4887" width="10" style="76" bestFit="1" customWidth="1"/>
    <col min="4888" max="4888" width="8.42578125" style="76" bestFit="1" customWidth="1"/>
    <col min="4889" max="4889" width="8.42578125" style="76" customWidth="1"/>
    <col min="4890" max="4890" width="9.28515625" style="76" customWidth="1"/>
    <col min="4891" max="4891" width="8.85546875" style="76" customWidth="1"/>
    <col min="4892" max="4892" width="9.140625" style="76" customWidth="1"/>
    <col min="4893" max="4893" width="8.5703125" style="76" customWidth="1"/>
    <col min="4894" max="4894" width="9" style="76" customWidth="1"/>
    <col min="4895" max="4895" width="7" style="76" customWidth="1"/>
    <col min="4896" max="4896" width="9.42578125" style="76" customWidth="1"/>
    <col min="4897" max="4897" width="8.85546875" style="76" customWidth="1"/>
    <col min="4898" max="4898" width="11.7109375" style="76" customWidth="1"/>
    <col min="4899" max="5138" width="9.140625" style="76"/>
    <col min="5139" max="5139" width="10.28515625" style="76" customWidth="1"/>
    <col min="5140" max="5140" width="0" style="76" hidden="1" customWidth="1"/>
    <col min="5141" max="5141" width="11.42578125" style="76" customWidth="1"/>
    <col min="5142" max="5142" width="10.85546875" style="76" bestFit="1" customWidth="1"/>
    <col min="5143" max="5143" width="10" style="76" bestFit="1" customWidth="1"/>
    <col min="5144" max="5144" width="8.42578125" style="76" bestFit="1" customWidth="1"/>
    <col min="5145" max="5145" width="8.42578125" style="76" customWidth="1"/>
    <col min="5146" max="5146" width="9.28515625" style="76" customWidth="1"/>
    <col min="5147" max="5147" width="8.85546875" style="76" customWidth="1"/>
    <col min="5148" max="5148" width="9.140625" style="76" customWidth="1"/>
    <col min="5149" max="5149" width="8.5703125" style="76" customWidth="1"/>
    <col min="5150" max="5150" width="9" style="76" customWidth="1"/>
    <col min="5151" max="5151" width="7" style="76" customWidth="1"/>
    <col min="5152" max="5152" width="9.42578125" style="76" customWidth="1"/>
    <col min="5153" max="5153" width="8.85546875" style="76" customWidth="1"/>
    <col min="5154" max="5154" width="11.7109375" style="76" customWidth="1"/>
    <col min="5155" max="5394" width="9.140625" style="76"/>
    <col min="5395" max="5395" width="10.28515625" style="76" customWidth="1"/>
    <col min="5396" max="5396" width="0" style="76" hidden="1" customWidth="1"/>
    <col min="5397" max="5397" width="11.42578125" style="76" customWidth="1"/>
    <col min="5398" max="5398" width="10.85546875" style="76" bestFit="1" customWidth="1"/>
    <col min="5399" max="5399" width="10" style="76" bestFit="1" customWidth="1"/>
    <col min="5400" max="5400" width="8.42578125" style="76" bestFit="1" customWidth="1"/>
    <col min="5401" max="5401" width="8.42578125" style="76" customWidth="1"/>
    <col min="5402" max="5402" width="9.28515625" style="76" customWidth="1"/>
    <col min="5403" max="5403" width="8.85546875" style="76" customWidth="1"/>
    <col min="5404" max="5404" width="9.140625" style="76" customWidth="1"/>
    <col min="5405" max="5405" width="8.5703125" style="76" customWidth="1"/>
    <col min="5406" max="5406" width="9" style="76" customWidth="1"/>
    <col min="5407" max="5407" width="7" style="76" customWidth="1"/>
    <col min="5408" max="5408" width="9.42578125" style="76" customWidth="1"/>
    <col min="5409" max="5409" width="8.85546875" style="76" customWidth="1"/>
    <col min="5410" max="5410" width="11.7109375" style="76" customWidth="1"/>
    <col min="5411" max="5650" width="9.140625" style="76"/>
    <col min="5651" max="5651" width="10.28515625" style="76" customWidth="1"/>
    <col min="5652" max="5652" width="0" style="76" hidden="1" customWidth="1"/>
    <col min="5653" max="5653" width="11.42578125" style="76" customWidth="1"/>
    <col min="5654" max="5654" width="10.85546875" style="76" bestFit="1" customWidth="1"/>
    <col min="5655" max="5655" width="10" style="76" bestFit="1" customWidth="1"/>
    <col min="5656" max="5656" width="8.42578125" style="76" bestFit="1" customWidth="1"/>
    <col min="5657" max="5657" width="8.42578125" style="76" customWidth="1"/>
    <col min="5658" max="5658" width="9.28515625" style="76" customWidth="1"/>
    <col min="5659" max="5659" width="8.85546875" style="76" customWidth="1"/>
    <col min="5660" max="5660" width="9.140625" style="76" customWidth="1"/>
    <col min="5661" max="5661" width="8.5703125" style="76" customWidth="1"/>
    <col min="5662" max="5662" width="9" style="76" customWidth="1"/>
    <col min="5663" max="5663" width="7" style="76" customWidth="1"/>
    <col min="5664" max="5664" width="9.42578125" style="76" customWidth="1"/>
    <col min="5665" max="5665" width="8.85546875" style="76" customWidth="1"/>
    <col min="5666" max="5666" width="11.7109375" style="76" customWidth="1"/>
    <col min="5667" max="5906" width="9.140625" style="76"/>
    <col min="5907" max="5907" width="10.28515625" style="76" customWidth="1"/>
    <col min="5908" max="5908" width="0" style="76" hidden="1" customWidth="1"/>
    <col min="5909" max="5909" width="11.42578125" style="76" customWidth="1"/>
    <col min="5910" max="5910" width="10.85546875" style="76" bestFit="1" customWidth="1"/>
    <col min="5911" max="5911" width="10" style="76" bestFit="1" customWidth="1"/>
    <col min="5912" max="5912" width="8.42578125" style="76" bestFit="1" customWidth="1"/>
    <col min="5913" max="5913" width="8.42578125" style="76" customWidth="1"/>
    <col min="5914" max="5914" width="9.28515625" style="76" customWidth="1"/>
    <col min="5915" max="5915" width="8.85546875" style="76" customWidth="1"/>
    <col min="5916" max="5916" width="9.140625" style="76" customWidth="1"/>
    <col min="5917" max="5917" width="8.5703125" style="76" customWidth="1"/>
    <col min="5918" max="5918" width="9" style="76" customWidth="1"/>
    <col min="5919" max="5919" width="7" style="76" customWidth="1"/>
    <col min="5920" max="5920" width="9.42578125" style="76" customWidth="1"/>
    <col min="5921" max="5921" width="8.85546875" style="76" customWidth="1"/>
    <col min="5922" max="5922" width="11.7109375" style="76" customWidth="1"/>
    <col min="5923" max="6162" width="9.140625" style="76"/>
    <col min="6163" max="6163" width="10.28515625" style="76" customWidth="1"/>
    <col min="6164" max="6164" width="0" style="76" hidden="1" customWidth="1"/>
    <col min="6165" max="6165" width="11.42578125" style="76" customWidth="1"/>
    <col min="6166" max="6166" width="10.85546875" style="76" bestFit="1" customWidth="1"/>
    <col min="6167" max="6167" width="10" style="76" bestFit="1" customWidth="1"/>
    <col min="6168" max="6168" width="8.42578125" style="76" bestFit="1" customWidth="1"/>
    <col min="6169" max="6169" width="8.42578125" style="76" customWidth="1"/>
    <col min="6170" max="6170" width="9.28515625" style="76" customWidth="1"/>
    <col min="6171" max="6171" width="8.85546875" style="76" customWidth="1"/>
    <col min="6172" max="6172" width="9.140625" style="76" customWidth="1"/>
    <col min="6173" max="6173" width="8.5703125" style="76" customWidth="1"/>
    <col min="6174" max="6174" width="9" style="76" customWidth="1"/>
    <col min="6175" max="6175" width="7" style="76" customWidth="1"/>
    <col min="6176" max="6176" width="9.42578125" style="76" customWidth="1"/>
    <col min="6177" max="6177" width="8.85546875" style="76" customWidth="1"/>
    <col min="6178" max="6178" width="11.7109375" style="76" customWidth="1"/>
    <col min="6179" max="6418" width="9.140625" style="76"/>
    <col min="6419" max="6419" width="10.28515625" style="76" customWidth="1"/>
    <col min="6420" max="6420" width="0" style="76" hidden="1" customWidth="1"/>
    <col min="6421" max="6421" width="11.42578125" style="76" customWidth="1"/>
    <col min="6422" max="6422" width="10.85546875" style="76" bestFit="1" customWidth="1"/>
    <col min="6423" max="6423" width="10" style="76" bestFit="1" customWidth="1"/>
    <col min="6424" max="6424" width="8.42578125" style="76" bestFit="1" customWidth="1"/>
    <col min="6425" max="6425" width="8.42578125" style="76" customWidth="1"/>
    <col min="6426" max="6426" width="9.28515625" style="76" customWidth="1"/>
    <col min="6427" max="6427" width="8.85546875" style="76" customWidth="1"/>
    <col min="6428" max="6428" width="9.140625" style="76" customWidth="1"/>
    <col min="6429" max="6429" width="8.5703125" style="76" customWidth="1"/>
    <col min="6430" max="6430" width="9" style="76" customWidth="1"/>
    <col min="6431" max="6431" width="7" style="76" customWidth="1"/>
    <col min="6432" max="6432" width="9.42578125" style="76" customWidth="1"/>
    <col min="6433" max="6433" width="8.85546875" style="76" customWidth="1"/>
    <col min="6434" max="6434" width="11.7109375" style="76" customWidth="1"/>
    <col min="6435" max="6674" width="9.140625" style="76"/>
    <col min="6675" max="6675" width="10.28515625" style="76" customWidth="1"/>
    <col min="6676" max="6676" width="0" style="76" hidden="1" customWidth="1"/>
    <col min="6677" max="6677" width="11.42578125" style="76" customWidth="1"/>
    <col min="6678" max="6678" width="10.85546875" style="76" bestFit="1" customWidth="1"/>
    <col min="6679" max="6679" width="10" style="76" bestFit="1" customWidth="1"/>
    <col min="6680" max="6680" width="8.42578125" style="76" bestFit="1" customWidth="1"/>
    <col min="6681" max="6681" width="8.42578125" style="76" customWidth="1"/>
    <col min="6682" max="6682" width="9.28515625" style="76" customWidth="1"/>
    <col min="6683" max="6683" width="8.85546875" style="76" customWidth="1"/>
    <col min="6684" max="6684" width="9.140625" style="76" customWidth="1"/>
    <col min="6685" max="6685" width="8.5703125" style="76" customWidth="1"/>
    <col min="6686" max="6686" width="9" style="76" customWidth="1"/>
    <col min="6687" max="6687" width="7" style="76" customWidth="1"/>
    <col min="6688" max="6688" width="9.42578125" style="76" customWidth="1"/>
    <col min="6689" max="6689" width="8.85546875" style="76" customWidth="1"/>
    <col min="6690" max="6690" width="11.7109375" style="76" customWidth="1"/>
    <col min="6691" max="6930" width="9.140625" style="76"/>
    <col min="6931" max="6931" width="10.28515625" style="76" customWidth="1"/>
    <col min="6932" max="6932" width="0" style="76" hidden="1" customWidth="1"/>
    <col min="6933" max="6933" width="11.42578125" style="76" customWidth="1"/>
    <col min="6934" max="6934" width="10.85546875" style="76" bestFit="1" customWidth="1"/>
    <col min="6935" max="6935" width="10" style="76" bestFit="1" customWidth="1"/>
    <col min="6936" max="6936" width="8.42578125" style="76" bestFit="1" customWidth="1"/>
    <col min="6937" max="6937" width="8.42578125" style="76" customWidth="1"/>
    <col min="6938" max="6938" width="9.28515625" style="76" customWidth="1"/>
    <col min="6939" max="6939" width="8.85546875" style="76" customWidth="1"/>
    <col min="6940" max="6940" width="9.140625" style="76" customWidth="1"/>
    <col min="6941" max="6941" width="8.5703125" style="76" customWidth="1"/>
    <col min="6942" max="6942" width="9" style="76" customWidth="1"/>
    <col min="6943" max="6943" width="7" style="76" customWidth="1"/>
    <col min="6944" max="6944" width="9.42578125" style="76" customWidth="1"/>
    <col min="6945" max="6945" width="8.85546875" style="76" customWidth="1"/>
    <col min="6946" max="6946" width="11.7109375" style="76" customWidth="1"/>
    <col min="6947" max="7186" width="9.140625" style="76"/>
    <col min="7187" max="7187" width="10.28515625" style="76" customWidth="1"/>
    <col min="7188" max="7188" width="0" style="76" hidden="1" customWidth="1"/>
    <col min="7189" max="7189" width="11.42578125" style="76" customWidth="1"/>
    <col min="7190" max="7190" width="10.85546875" style="76" bestFit="1" customWidth="1"/>
    <col min="7191" max="7191" width="10" style="76" bestFit="1" customWidth="1"/>
    <col min="7192" max="7192" width="8.42578125" style="76" bestFit="1" customWidth="1"/>
    <col min="7193" max="7193" width="8.42578125" style="76" customWidth="1"/>
    <col min="7194" max="7194" width="9.28515625" style="76" customWidth="1"/>
    <col min="7195" max="7195" width="8.85546875" style="76" customWidth="1"/>
    <col min="7196" max="7196" width="9.140625" style="76" customWidth="1"/>
    <col min="7197" max="7197" width="8.5703125" style="76" customWidth="1"/>
    <col min="7198" max="7198" width="9" style="76" customWidth="1"/>
    <col min="7199" max="7199" width="7" style="76" customWidth="1"/>
    <col min="7200" max="7200" width="9.42578125" style="76" customWidth="1"/>
    <col min="7201" max="7201" width="8.85546875" style="76" customWidth="1"/>
    <col min="7202" max="7202" width="11.7109375" style="76" customWidth="1"/>
    <col min="7203" max="7442" width="9.140625" style="76"/>
    <col min="7443" max="7443" width="10.28515625" style="76" customWidth="1"/>
    <col min="7444" max="7444" width="0" style="76" hidden="1" customWidth="1"/>
    <col min="7445" max="7445" width="11.42578125" style="76" customWidth="1"/>
    <col min="7446" max="7446" width="10.85546875" style="76" bestFit="1" customWidth="1"/>
    <col min="7447" max="7447" width="10" style="76" bestFit="1" customWidth="1"/>
    <col min="7448" max="7448" width="8.42578125" style="76" bestFit="1" customWidth="1"/>
    <col min="7449" max="7449" width="8.42578125" style="76" customWidth="1"/>
    <col min="7450" max="7450" width="9.28515625" style="76" customWidth="1"/>
    <col min="7451" max="7451" width="8.85546875" style="76" customWidth="1"/>
    <col min="7452" max="7452" width="9.140625" style="76" customWidth="1"/>
    <col min="7453" max="7453" width="8.5703125" style="76" customWidth="1"/>
    <col min="7454" max="7454" width="9" style="76" customWidth="1"/>
    <col min="7455" max="7455" width="7" style="76" customWidth="1"/>
    <col min="7456" max="7456" width="9.42578125" style="76" customWidth="1"/>
    <col min="7457" max="7457" width="8.85546875" style="76" customWidth="1"/>
    <col min="7458" max="7458" width="11.7109375" style="76" customWidth="1"/>
    <col min="7459" max="7698" width="9.140625" style="76"/>
    <col min="7699" max="7699" width="10.28515625" style="76" customWidth="1"/>
    <col min="7700" max="7700" width="0" style="76" hidden="1" customWidth="1"/>
    <col min="7701" max="7701" width="11.42578125" style="76" customWidth="1"/>
    <col min="7702" max="7702" width="10.85546875" style="76" bestFit="1" customWidth="1"/>
    <col min="7703" max="7703" width="10" style="76" bestFit="1" customWidth="1"/>
    <col min="7704" max="7704" width="8.42578125" style="76" bestFit="1" customWidth="1"/>
    <col min="7705" max="7705" width="8.42578125" style="76" customWidth="1"/>
    <col min="7706" max="7706" width="9.28515625" style="76" customWidth="1"/>
    <col min="7707" max="7707" width="8.85546875" style="76" customWidth="1"/>
    <col min="7708" max="7708" width="9.140625" style="76" customWidth="1"/>
    <col min="7709" max="7709" width="8.5703125" style="76" customWidth="1"/>
    <col min="7710" max="7710" width="9" style="76" customWidth="1"/>
    <col min="7711" max="7711" width="7" style="76" customWidth="1"/>
    <col min="7712" max="7712" width="9.42578125" style="76" customWidth="1"/>
    <col min="7713" max="7713" width="8.85546875" style="76" customWidth="1"/>
    <col min="7714" max="7714" width="11.7109375" style="76" customWidth="1"/>
    <col min="7715" max="7954" width="9.140625" style="76"/>
    <col min="7955" max="7955" width="10.28515625" style="76" customWidth="1"/>
    <col min="7956" max="7956" width="0" style="76" hidden="1" customWidth="1"/>
    <col min="7957" max="7957" width="11.42578125" style="76" customWidth="1"/>
    <col min="7958" max="7958" width="10.85546875" style="76" bestFit="1" customWidth="1"/>
    <col min="7959" max="7959" width="10" style="76" bestFit="1" customWidth="1"/>
    <col min="7960" max="7960" width="8.42578125" style="76" bestFit="1" customWidth="1"/>
    <col min="7961" max="7961" width="8.42578125" style="76" customWidth="1"/>
    <col min="7962" max="7962" width="9.28515625" style="76" customWidth="1"/>
    <col min="7963" max="7963" width="8.85546875" style="76" customWidth="1"/>
    <col min="7964" max="7964" width="9.140625" style="76" customWidth="1"/>
    <col min="7965" max="7965" width="8.5703125" style="76" customWidth="1"/>
    <col min="7966" max="7966" width="9" style="76" customWidth="1"/>
    <col min="7967" max="7967" width="7" style="76" customWidth="1"/>
    <col min="7968" max="7968" width="9.42578125" style="76" customWidth="1"/>
    <col min="7969" max="7969" width="8.85546875" style="76" customWidth="1"/>
    <col min="7970" max="7970" width="11.7109375" style="76" customWidth="1"/>
    <col min="7971" max="8210" width="9.140625" style="76"/>
    <col min="8211" max="8211" width="10.28515625" style="76" customWidth="1"/>
    <col min="8212" max="8212" width="0" style="76" hidden="1" customWidth="1"/>
    <col min="8213" max="8213" width="11.42578125" style="76" customWidth="1"/>
    <col min="8214" max="8214" width="10.85546875" style="76" bestFit="1" customWidth="1"/>
    <col min="8215" max="8215" width="10" style="76" bestFit="1" customWidth="1"/>
    <col min="8216" max="8216" width="8.42578125" style="76" bestFit="1" customWidth="1"/>
    <col min="8217" max="8217" width="8.42578125" style="76" customWidth="1"/>
    <col min="8218" max="8218" width="9.28515625" style="76" customWidth="1"/>
    <col min="8219" max="8219" width="8.85546875" style="76" customWidth="1"/>
    <col min="8220" max="8220" width="9.140625" style="76" customWidth="1"/>
    <col min="8221" max="8221" width="8.5703125" style="76" customWidth="1"/>
    <col min="8222" max="8222" width="9" style="76" customWidth="1"/>
    <col min="8223" max="8223" width="7" style="76" customWidth="1"/>
    <col min="8224" max="8224" width="9.42578125" style="76" customWidth="1"/>
    <col min="8225" max="8225" width="8.85546875" style="76" customWidth="1"/>
    <col min="8226" max="8226" width="11.7109375" style="76" customWidth="1"/>
    <col min="8227" max="8466" width="9.140625" style="76"/>
    <col min="8467" max="8467" width="10.28515625" style="76" customWidth="1"/>
    <col min="8468" max="8468" width="0" style="76" hidden="1" customWidth="1"/>
    <col min="8469" max="8469" width="11.42578125" style="76" customWidth="1"/>
    <col min="8470" max="8470" width="10.85546875" style="76" bestFit="1" customWidth="1"/>
    <col min="8471" max="8471" width="10" style="76" bestFit="1" customWidth="1"/>
    <col min="8472" max="8472" width="8.42578125" style="76" bestFit="1" customWidth="1"/>
    <col min="8473" max="8473" width="8.42578125" style="76" customWidth="1"/>
    <col min="8474" max="8474" width="9.28515625" style="76" customWidth="1"/>
    <col min="8475" max="8475" width="8.85546875" style="76" customWidth="1"/>
    <col min="8476" max="8476" width="9.140625" style="76" customWidth="1"/>
    <col min="8477" max="8477" width="8.5703125" style="76" customWidth="1"/>
    <col min="8478" max="8478" width="9" style="76" customWidth="1"/>
    <col min="8479" max="8479" width="7" style="76" customWidth="1"/>
    <col min="8480" max="8480" width="9.42578125" style="76" customWidth="1"/>
    <col min="8481" max="8481" width="8.85546875" style="76" customWidth="1"/>
    <col min="8482" max="8482" width="11.7109375" style="76" customWidth="1"/>
    <col min="8483" max="8722" width="9.140625" style="76"/>
    <col min="8723" max="8723" width="10.28515625" style="76" customWidth="1"/>
    <col min="8724" max="8724" width="0" style="76" hidden="1" customWidth="1"/>
    <col min="8725" max="8725" width="11.42578125" style="76" customWidth="1"/>
    <col min="8726" max="8726" width="10.85546875" style="76" bestFit="1" customWidth="1"/>
    <col min="8727" max="8727" width="10" style="76" bestFit="1" customWidth="1"/>
    <col min="8728" max="8728" width="8.42578125" style="76" bestFit="1" customWidth="1"/>
    <col min="8729" max="8729" width="8.42578125" style="76" customWidth="1"/>
    <col min="8730" max="8730" width="9.28515625" style="76" customWidth="1"/>
    <col min="8731" max="8731" width="8.85546875" style="76" customWidth="1"/>
    <col min="8732" max="8732" width="9.140625" style="76" customWidth="1"/>
    <col min="8733" max="8733" width="8.5703125" style="76" customWidth="1"/>
    <col min="8734" max="8734" width="9" style="76" customWidth="1"/>
    <col min="8735" max="8735" width="7" style="76" customWidth="1"/>
    <col min="8736" max="8736" width="9.42578125" style="76" customWidth="1"/>
    <col min="8737" max="8737" width="8.85546875" style="76" customWidth="1"/>
    <col min="8738" max="8738" width="11.7109375" style="76" customWidth="1"/>
    <col min="8739" max="8978" width="9.140625" style="76"/>
    <col min="8979" max="8979" width="10.28515625" style="76" customWidth="1"/>
    <col min="8980" max="8980" width="0" style="76" hidden="1" customWidth="1"/>
    <col min="8981" max="8981" width="11.42578125" style="76" customWidth="1"/>
    <col min="8982" max="8982" width="10.85546875" style="76" bestFit="1" customWidth="1"/>
    <col min="8983" max="8983" width="10" style="76" bestFit="1" customWidth="1"/>
    <col min="8984" max="8984" width="8.42578125" style="76" bestFit="1" customWidth="1"/>
    <col min="8985" max="8985" width="8.42578125" style="76" customWidth="1"/>
    <col min="8986" max="8986" width="9.28515625" style="76" customWidth="1"/>
    <col min="8987" max="8987" width="8.85546875" style="76" customWidth="1"/>
    <col min="8988" max="8988" width="9.140625" style="76" customWidth="1"/>
    <col min="8989" max="8989" width="8.5703125" style="76" customWidth="1"/>
    <col min="8990" max="8990" width="9" style="76" customWidth="1"/>
    <col min="8991" max="8991" width="7" style="76" customWidth="1"/>
    <col min="8992" max="8992" width="9.42578125" style="76" customWidth="1"/>
    <col min="8993" max="8993" width="8.85546875" style="76" customWidth="1"/>
    <col min="8994" max="8994" width="11.7109375" style="76" customWidth="1"/>
    <col min="8995" max="9234" width="9.140625" style="76"/>
    <col min="9235" max="9235" width="10.28515625" style="76" customWidth="1"/>
    <col min="9236" max="9236" width="0" style="76" hidden="1" customWidth="1"/>
    <col min="9237" max="9237" width="11.42578125" style="76" customWidth="1"/>
    <col min="9238" max="9238" width="10.85546875" style="76" bestFit="1" customWidth="1"/>
    <col min="9239" max="9239" width="10" style="76" bestFit="1" customWidth="1"/>
    <col min="9240" max="9240" width="8.42578125" style="76" bestFit="1" customWidth="1"/>
    <col min="9241" max="9241" width="8.42578125" style="76" customWidth="1"/>
    <col min="9242" max="9242" width="9.28515625" style="76" customWidth="1"/>
    <col min="9243" max="9243" width="8.85546875" style="76" customWidth="1"/>
    <col min="9244" max="9244" width="9.140625" style="76" customWidth="1"/>
    <col min="9245" max="9245" width="8.5703125" style="76" customWidth="1"/>
    <col min="9246" max="9246" width="9" style="76" customWidth="1"/>
    <col min="9247" max="9247" width="7" style="76" customWidth="1"/>
    <col min="9248" max="9248" width="9.42578125" style="76" customWidth="1"/>
    <col min="9249" max="9249" width="8.85546875" style="76" customWidth="1"/>
    <col min="9250" max="9250" width="11.7109375" style="76" customWidth="1"/>
    <col min="9251" max="9490" width="9.140625" style="76"/>
    <col min="9491" max="9491" width="10.28515625" style="76" customWidth="1"/>
    <col min="9492" max="9492" width="0" style="76" hidden="1" customWidth="1"/>
    <col min="9493" max="9493" width="11.42578125" style="76" customWidth="1"/>
    <col min="9494" max="9494" width="10.85546875" style="76" bestFit="1" customWidth="1"/>
    <col min="9495" max="9495" width="10" style="76" bestFit="1" customWidth="1"/>
    <col min="9496" max="9496" width="8.42578125" style="76" bestFit="1" customWidth="1"/>
    <col min="9497" max="9497" width="8.42578125" style="76" customWidth="1"/>
    <col min="9498" max="9498" width="9.28515625" style="76" customWidth="1"/>
    <col min="9499" max="9499" width="8.85546875" style="76" customWidth="1"/>
    <col min="9500" max="9500" width="9.140625" style="76" customWidth="1"/>
    <col min="9501" max="9501" width="8.5703125" style="76" customWidth="1"/>
    <col min="9502" max="9502" width="9" style="76" customWidth="1"/>
    <col min="9503" max="9503" width="7" style="76" customWidth="1"/>
    <col min="9504" max="9504" width="9.42578125" style="76" customWidth="1"/>
    <col min="9505" max="9505" width="8.85546875" style="76" customWidth="1"/>
    <col min="9506" max="9506" width="11.7109375" style="76" customWidth="1"/>
    <col min="9507" max="9746" width="9.140625" style="76"/>
    <col min="9747" max="9747" width="10.28515625" style="76" customWidth="1"/>
    <col min="9748" max="9748" width="0" style="76" hidden="1" customWidth="1"/>
    <col min="9749" max="9749" width="11.42578125" style="76" customWidth="1"/>
    <col min="9750" max="9750" width="10.85546875" style="76" bestFit="1" customWidth="1"/>
    <col min="9751" max="9751" width="10" style="76" bestFit="1" customWidth="1"/>
    <col min="9752" max="9752" width="8.42578125" style="76" bestFit="1" customWidth="1"/>
    <col min="9753" max="9753" width="8.42578125" style="76" customWidth="1"/>
    <col min="9754" max="9754" width="9.28515625" style="76" customWidth="1"/>
    <col min="9755" max="9755" width="8.85546875" style="76" customWidth="1"/>
    <col min="9756" max="9756" width="9.140625" style="76" customWidth="1"/>
    <col min="9757" max="9757" width="8.5703125" style="76" customWidth="1"/>
    <col min="9758" max="9758" width="9" style="76" customWidth="1"/>
    <col min="9759" max="9759" width="7" style="76" customWidth="1"/>
    <col min="9760" max="9760" width="9.42578125" style="76" customWidth="1"/>
    <col min="9761" max="9761" width="8.85546875" style="76" customWidth="1"/>
    <col min="9762" max="9762" width="11.7109375" style="76" customWidth="1"/>
    <col min="9763" max="10002" width="9.140625" style="76"/>
    <col min="10003" max="10003" width="10.28515625" style="76" customWidth="1"/>
    <col min="10004" max="10004" width="0" style="76" hidden="1" customWidth="1"/>
    <col min="10005" max="10005" width="11.42578125" style="76" customWidth="1"/>
    <col min="10006" max="10006" width="10.85546875" style="76" bestFit="1" customWidth="1"/>
    <col min="10007" max="10007" width="10" style="76" bestFit="1" customWidth="1"/>
    <col min="10008" max="10008" width="8.42578125" style="76" bestFit="1" customWidth="1"/>
    <col min="10009" max="10009" width="8.42578125" style="76" customWidth="1"/>
    <col min="10010" max="10010" width="9.28515625" style="76" customWidth="1"/>
    <col min="10011" max="10011" width="8.85546875" style="76" customWidth="1"/>
    <col min="10012" max="10012" width="9.140625" style="76" customWidth="1"/>
    <col min="10013" max="10013" width="8.5703125" style="76" customWidth="1"/>
    <col min="10014" max="10014" width="9" style="76" customWidth="1"/>
    <col min="10015" max="10015" width="7" style="76" customWidth="1"/>
    <col min="10016" max="10016" width="9.42578125" style="76" customWidth="1"/>
    <col min="10017" max="10017" width="8.85546875" style="76" customWidth="1"/>
    <col min="10018" max="10018" width="11.7109375" style="76" customWidth="1"/>
    <col min="10019" max="10258" width="9.140625" style="76"/>
    <col min="10259" max="10259" width="10.28515625" style="76" customWidth="1"/>
    <col min="10260" max="10260" width="0" style="76" hidden="1" customWidth="1"/>
    <col min="10261" max="10261" width="11.42578125" style="76" customWidth="1"/>
    <col min="10262" max="10262" width="10.85546875" style="76" bestFit="1" customWidth="1"/>
    <col min="10263" max="10263" width="10" style="76" bestFit="1" customWidth="1"/>
    <col min="10264" max="10264" width="8.42578125" style="76" bestFit="1" customWidth="1"/>
    <col min="10265" max="10265" width="8.42578125" style="76" customWidth="1"/>
    <col min="10266" max="10266" width="9.28515625" style="76" customWidth="1"/>
    <col min="10267" max="10267" width="8.85546875" style="76" customWidth="1"/>
    <col min="10268" max="10268" width="9.140625" style="76" customWidth="1"/>
    <col min="10269" max="10269" width="8.5703125" style="76" customWidth="1"/>
    <col min="10270" max="10270" width="9" style="76" customWidth="1"/>
    <col min="10271" max="10271" width="7" style="76" customWidth="1"/>
    <col min="10272" max="10272" width="9.42578125" style="76" customWidth="1"/>
    <col min="10273" max="10273" width="8.85546875" style="76" customWidth="1"/>
    <col min="10274" max="10274" width="11.7109375" style="76" customWidth="1"/>
    <col min="10275" max="10514" width="9.140625" style="76"/>
    <col min="10515" max="10515" width="10.28515625" style="76" customWidth="1"/>
    <col min="10516" max="10516" width="0" style="76" hidden="1" customWidth="1"/>
    <col min="10517" max="10517" width="11.42578125" style="76" customWidth="1"/>
    <col min="10518" max="10518" width="10.85546875" style="76" bestFit="1" customWidth="1"/>
    <col min="10519" max="10519" width="10" style="76" bestFit="1" customWidth="1"/>
    <col min="10520" max="10520" width="8.42578125" style="76" bestFit="1" customWidth="1"/>
    <col min="10521" max="10521" width="8.42578125" style="76" customWidth="1"/>
    <col min="10522" max="10522" width="9.28515625" style="76" customWidth="1"/>
    <col min="10523" max="10523" width="8.85546875" style="76" customWidth="1"/>
    <col min="10524" max="10524" width="9.140625" style="76" customWidth="1"/>
    <col min="10525" max="10525" width="8.5703125" style="76" customWidth="1"/>
    <col min="10526" max="10526" width="9" style="76" customWidth="1"/>
    <col min="10527" max="10527" width="7" style="76" customWidth="1"/>
    <col min="10528" max="10528" width="9.42578125" style="76" customWidth="1"/>
    <col min="10529" max="10529" width="8.85546875" style="76" customWidth="1"/>
    <col min="10530" max="10530" width="11.7109375" style="76" customWidth="1"/>
    <col min="10531" max="10770" width="9.140625" style="76"/>
    <col min="10771" max="10771" width="10.28515625" style="76" customWidth="1"/>
    <col min="10772" max="10772" width="0" style="76" hidden="1" customWidth="1"/>
    <col min="10773" max="10773" width="11.42578125" style="76" customWidth="1"/>
    <col min="10774" max="10774" width="10.85546875" style="76" bestFit="1" customWidth="1"/>
    <col min="10775" max="10775" width="10" style="76" bestFit="1" customWidth="1"/>
    <col min="10776" max="10776" width="8.42578125" style="76" bestFit="1" customWidth="1"/>
    <col min="10777" max="10777" width="8.42578125" style="76" customWidth="1"/>
    <col min="10778" max="10778" width="9.28515625" style="76" customWidth="1"/>
    <col min="10779" max="10779" width="8.85546875" style="76" customWidth="1"/>
    <col min="10780" max="10780" width="9.140625" style="76" customWidth="1"/>
    <col min="10781" max="10781" width="8.5703125" style="76" customWidth="1"/>
    <col min="10782" max="10782" width="9" style="76" customWidth="1"/>
    <col min="10783" max="10783" width="7" style="76" customWidth="1"/>
    <col min="10784" max="10784" width="9.42578125" style="76" customWidth="1"/>
    <col min="10785" max="10785" width="8.85546875" style="76" customWidth="1"/>
    <col min="10786" max="10786" width="11.7109375" style="76" customWidth="1"/>
    <col min="10787" max="11026" width="9.140625" style="76"/>
    <col min="11027" max="11027" width="10.28515625" style="76" customWidth="1"/>
    <col min="11028" max="11028" width="0" style="76" hidden="1" customWidth="1"/>
    <col min="11029" max="11029" width="11.42578125" style="76" customWidth="1"/>
    <col min="11030" max="11030" width="10.85546875" style="76" bestFit="1" customWidth="1"/>
    <col min="11031" max="11031" width="10" style="76" bestFit="1" customWidth="1"/>
    <col min="11032" max="11032" width="8.42578125" style="76" bestFit="1" customWidth="1"/>
    <col min="11033" max="11033" width="8.42578125" style="76" customWidth="1"/>
    <col min="11034" max="11034" width="9.28515625" style="76" customWidth="1"/>
    <col min="11035" max="11035" width="8.85546875" style="76" customWidth="1"/>
    <col min="11036" max="11036" width="9.140625" style="76" customWidth="1"/>
    <col min="11037" max="11037" width="8.5703125" style="76" customWidth="1"/>
    <col min="11038" max="11038" width="9" style="76" customWidth="1"/>
    <col min="11039" max="11039" width="7" style="76" customWidth="1"/>
    <col min="11040" max="11040" width="9.42578125" style="76" customWidth="1"/>
    <col min="11041" max="11041" width="8.85546875" style="76" customWidth="1"/>
    <col min="11042" max="11042" width="11.7109375" style="76" customWidth="1"/>
    <col min="11043" max="11282" width="9.140625" style="76"/>
    <col min="11283" max="11283" width="10.28515625" style="76" customWidth="1"/>
    <col min="11284" max="11284" width="0" style="76" hidden="1" customWidth="1"/>
    <col min="11285" max="11285" width="11.42578125" style="76" customWidth="1"/>
    <col min="11286" max="11286" width="10.85546875" style="76" bestFit="1" customWidth="1"/>
    <col min="11287" max="11287" width="10" style="76" bestFit="1" customWidth="1"/>
    <col min="11288" max="11288" width="8.42578125" style="76" bestFit="1" customWidth="1"/>
    <col min="11289" max="11289" width="8.42578125" style="76" customWidth="1"/>
    <col min="11290" max="11290" width="9.28515625" style="76" customWidth="1"/>
    <col min="11291" max="11291" width="8.85546875" style="76" customWidth="1"/>
    <col min="11292" max="11292" width="9.140625" style="76" customWidth="1"/>
    <col min="11293" max="11293" width="8.5703125" style="76" customWidth="1"/>
    <col min="11294" max="11294" width="9" style="76" customWidth="1"/>
    <col min="11295" max="11295" width="7" style="76" customWidth="1"/>
    <col min="11296" max="11296" width="9.42578125" style="76" customWidth="1"/>
    <col min="11297" max="11297" width="8.85546875" style="76" customWidth="1"/>
    <col min="11298" max="11298" width="11.7109375" style="76" customWidth="1"/>
    <col min="11299" max="11538" width="9.140625" style="76"/>
    <col min="11539" max="11539" width="10.28515625" style="76" customWidth="1"/>
    <col min="11540" max="11540" width="0" style="76" hidden="1" customWidth="1"/>
    <col min="11541" max="11541" width="11.42578125" style="76" customWidth="1"/>
    <col min="11542" max="11542" width="10.85546875" style="76" bestFit="1" customWidth="1"/>
    <col min="11543" max="11543" width="10" style="76" bestFit="1" customWidth="1"/>
    <col min="11544" max="11544" width="8.42578125" style="76" bestFit="1" customWidth="1"/>
    <col min="11545" max="11545" width="8.42578125" style="76" customWidth="1"/>
    <col min="11546" max="11546" width="9.28515625" style="76" customWidth="1"/>
    <col min="11547" max="11547" width="8.85546875" style="76" customWidth="1"/>
    <col min="11548" max="11548" width="9.140625" style="76" customWidth="1"/>
    <col min="11549" max="11549" width="8.5703125" style="76" customWidth="1"/>
    <col min="11550" max="11550" width="9" style="76" customWidth="1"/>
    <col min="11551" max="11551" width="7" style="76" customWidth="1"/>
    <col min="11552" max="11552" width="9.42578125" style="76" customWidth="1"/>
    <col min="11553" max="11553" width="8.85546875" style="76" customWidth="1"/>
    <col min="11554" max="11554" width="11.7109375" style="76" customWidth="1"/>
    <col min="11555" max="11794" width="9.140625" style="76"/>
    <col min="11795" max="11795" width="10.28515625" style="76" customWidth="1"/>
    <col min="11796" max="11796" width="0" style="76" hidden="1" customWidth="1"/>
    <col min="11797" max="11797" width="11.42578125" style="76" customWidth="1"/>
    <col min="11798" max="11798" width="10.85546875" style="76" bestFit="1" customWidth="1"/>
    <col min="11799" max="11799" width="10" style="76" bestFit="1" customWidth="1"/>
    <col min="11800" max="11800" width="8.42578125" style="76" bestFit="1" customWidth="1"/>
    <col min="11801" max="11801" width="8.42578125" style="76" customWidth="1"/>
    <col min="11802" max="11802" width="9.28515625" style="76" customWidth="1"/>
    <col min="11803" max="11803" width="8.85546875" style="76" customWidth="1"/>
    <col min="11804" max="11804" width="9.140625" style="76" customWidth="1"/>
    <col min="11805" max="11805" width="8.5703125" style="76" customWidth="1"/>
    <col min="11806" max="11806" width="9" style="76" customWidth="1"/>
    <col min="11807" max="11807" width="7" style="76" customWidth="1"/>
    <col min="11808" max="11808" width="9.42578125" style="76" customWidth="1"/>
    <col min="11809" max="11809" width="8.85546875" style="76" customWidth="1"/>
    <col min="11810" max="11810" width="11.7109375" style="76" customWidth="1"/>
    <col min="11811" max="12050" width="9.140625" style="76"/>
    <col min="12051" max="12051" width="10.28515625" style="76" customWidth="1"/>
    <col min="12052" max="12052" width="0" style="76" hidden="1" customWidth="1"/>
    <col min="12053" max="12053" width="11.42578125" style="76" customWidth="1"/>
    <col min="12054" max="12054" width="10.85546875" style="76" bestFit="1" customWidth="1"/>
    <col min="12055" max="12055" width="10" style="76" bestFit="1" customWidth="1"/>
    <col min="12056" max="12056" width="8.42578125" style="76" bestFit="1" customWidth="1"/>
    <col min="12057" max="12057" width="8.42578125" style="76" customWidth="1"/>
    <col min="12058" max="12058" width="9.28515625" style="76" customWidth="1"/>
    <col min="12059" max="12059" width="8.85546875" style="76" customWidth="1"/>
    <col min="12060" max="12060" width="9.140625" style="76" customWidth="1"/>
    <col min="12061" max="12061" width="8.5703125" style="76" customWidth="1"/>
    <col min="12062" max="12062" width="9" style="76" customWidth="1"/>
    <col min="12063" max="12063" width="7" style="76" customWidth="1"/>
    <col min="12064" max="12064" width="9.42578125" style="76" customWidth="1"/>
    <col min="12065" max="12065" width="8.85546875" style="76" customWidth="1"/>
    <col min="12066" max="12066" width="11.7109375" style="76" customWidth="1"/>
    <col min="12067" max="12306" width="9.140625" style="76"/>
    <col min="12307" max="12307" width="10.28515625" style="76" customWidth="1"/>
    <col min="12308" max="12308" width="0" style="76" hidden="1" customWidth="1"/>
    <col min="12309" max="12309" width="11.42578125" style="76" customWidth="1"/>
    <col min="12310" max="12310" width="10.85546875" style="76" bestFit="1" customWidth="1"/>
    <col min="12311" max="12311" width="10" style="76" bestFit="1" customWidth="1"/>
    <col min="12312" max="12312" width="8.42578125" style="76" bestFit="1" customWidth="1"/>
    <col min="12313" max="12313" width="8.42578125" style="76" customWidth="1"/>
    <col min="12314" max="12314" width="9.28515625" style="76" customWidth="1"/>
    <col min="12315" max="12315" width="8.85546875" style="76" customWidth="1"/>
    <col min="12316" max="12316" width="9.140625" style="76" customWidth="1"/>
    <col min="12317" max="12317" width="8.5703125" style="76" customWidth="1"/>
    <col min="12318" max="12318" width="9" style="76" customWidth="1"/>
    <col min="12319" max="12319" width="7" style="76" customWidth="1"/>
    <col min="12320" max="12320" width="9.42578125" style="76" customWidth="1"/>
    <col min="12321" max="12321" width="8.85546875" style="76" customWidth="1"/>
    <col min="12322" max="12322" width="11.7109375" style="76" customWidth="1"/>
    <col min="12323" max="12562" width="9.140625" style="76"/>
    <col min="12563" max="12563" width="10.28515625" style="76" customWidth="1"/>
    <col min="12564" max="12564" width="0" style="76" hidden="1" customWidth="1"/>
    <col min="12565" max="12565" width="11.42578125" style="76" customWidth="1"/>
    <col min="12566" max="12566" width="10.85546875" style="76" bestFit="1" customWidth="1"/>
    <col min="12567" max="12567" width="10" style="76" bestFit="1" customWidth="1"/>
    <col min="12568" max="12568" width="8.42578125" style="76" bestFit="1" customWidth="1"/>
    <col min="12569" max="12569" width="8.42578125" style="76" customWidth="1"/>
    <col min="12570" max="12570" width="9.28515625" style="76" customWidth="1"/>
    <col min="12571" max="12571" width="8.85546875" style="76" customWidth="1"/>
    <col min="12572" max="12572" width="9.140625" style="76" customWidth="1"/>
    <col min="12573" max="12573" width="8.5703125" style="76" customWidth="1"/>
    <col min="12574" max="12574" width="9" style="76" customWidth="1"/>
    <col min="12575" max="12575" width="7" style="76" customWidth="1"/>
    <col min="12576" max="12576" width="9.42578125" style="76" customWidth="1"/>
    <col min="12577" max="12577" width="8.85546875" style="76" customWidth="1"/>
    <col min="12578" max="12578" width="11.7109375" style="76" customWidth="1"/>
    <col min="12579" max="12818" width="9.140625" style="76"/>
    <col min="12819" max="12819" width="10.28515625" style="76" customWidth="1"/>
    <col min="12820" max="12820" width="0" style="76" hidden="1" customWidth="1"/>
    <col min="12821" max="12821" width="11.42578125" style="76" customWidth="1"/>
    <col min="12822" max="12822" width="10.85546875" style="76" bestFit="1" customWidth="1"/>
    <col min="12823" max="12823" width="10" style="76" bestFit="1" customWidth="1"/>
    <col min="12824" max="12824" width="8.42578125" style="76" bestFit="1" customWidth="1"/>
    <col min="12825" max="12825" width="8.42578125" style="76" customWidth="1"/>
    <col min="12826" max="12826" width="9.28515625" style="76" customWidth="1"/>
    <col min="12827" max="12827" width="8.85546875" style="76" customWidth="1"/>
    <col min="12828" max="12828" width="9.140625" style="76" customWidth="1"/>
    <col min="12829" max="12829" width="8.5703125" style="76" customWidth="1"/>
    <col min="12830" max="12830" width="9" style="76" customWidth="1"/>
    <col min="12831" max="12831" width="7" style="76" customWidth="1"/>
    <col min="12832" max="12832" width="9.42578125" style="76" customWidth="1"/>
    <col min="12833" max="12833" width="8.85546875" style="76" customWidth="1"/>
    <col min="12834" max="12834" width="11.7109375" style="76" customWidth="1"/>
    <col min="12835" max="13074" width="9.140625" style="76"/>
    <col min="13075" max="13075" width="10.28515625" style="76" customWidth="1"/>
    <col min="13076" max="13076" width="0" style="76" hidden="1" customWidth="1"/>
    <col min="13077" max="13077" width="11.42578125" style="76" customWidth="1"/>
    <col min="13078" max="13078" width="10.85546875" style="76" bestFit="1" customWidth="1"/>
    <col min="13079" max="13079" width="10" style="76" bestFit="1" customWidth="1"/>
    <col min="13080" max="13080" width="8.42578125" style="76" bestFit="1" customWidth="1"/>
    <col min="13081" max="13081" width="8.42578125" style="76" customWidth="1"/>
    <col min="13082" max="13082" width="9.28515625" style="76" customWidth="1"/>
    <col min="13083" max="13083" width="8.85546875" style="76" customWidth="1"/>
    <col min="13084" max="13084" width="9.140625" style="76" customWidth="1"/>
    <col min="13085" max="13085" width="8.5703125" style="76" customWidth="1"/>
    <col min="13086" max="13086" width="9" style="76" customWidth="1"/>
    <col min="13087" max="13087" width="7" style="76" customWidth="1"/>
    <col min="13088" max="13088" width="9.42578125" style="76" customWidth="1"/>
    <col min="13089" max="13089" width="8.85546875" style="76" customWidth="1"/>
    <col min="13090" max="13090" width="11.7109375" style="76" customWidth="1"/>
    <col min="13091" max="13330" width="9.140625" style="76"/>
    <col min="13331" max="13331" width="10.28515625" style="76" customWidth="1"/>
    <col min="13332" max="13332" width="0" style="76" hidden="1" customWidth="1"/>
    <col min="13333" max="13333" width="11.42578125" style="76" customWidth="1"/>
    <col min="13334" max="13334" width="10.85546875" style="76" bestFit="1" customWidth="1"/>
    <col min="13335" max="13335" width="10" style="76" bestFit="1" customWidth="1"/>
    <col min="13336" max="13336" width="8.42578125" style="76" bestFit="1" customWidth="1"/>
    <col min="13337" max="13337" width="8.42578125" style="76" customWidth="1"/>
    <col min="13338" max="13338" width="9.28515625" style="76" customWidth="1"/>
    <col min="13339" max="13339" width="8.85546875" style="76" customWidth="1"/>
    <col min="13340" max="13340" width="9.140625" style="76" customWidth="1"/>
    <col min="13341" max="13341" width="8.5703125" style="76" customWidth="1"/>
    <col min="13342" max="13342" width="9" style="76" customWidth="1"/>
    <col min="13343" max="13343" width="7" style="76" customWidth="1"/>
    <col min="13344" max="13344" width="9.42578125" style="76" customWidth="1"/>
    <col min="13345" max="13345" width="8.85546875" style="76" customWidth="1"/>
    <col min="13346" max="13346" width="11.7109375" style="76" customWidth="1"/>
    <col min="13347" max="13586" width="9.140625" style="76"/>
    <col min="13587" max="13587" width="10.28515625" style="76" customWidth="1"/>
    <col min="13588" max="13588" width="0" style="76" hidden="1" customWidth="1"/>
    <col min="13589" max="13589" width="11.42578125" style="76" customWidth="1"/>
    <col min="13590" max="13590" width="10.85546875" style="76" bestFit="1" customWidth="1"/>
    <col min="13591" max="13591" width="10" style="76" bestFit="1" customWidth="1"/>
    <col min="13592" max="13592" width="8.42578125" style="76" bestFit="1" customWidth="1"/>
    <col min="13593" max="13593" width="8.42578125" style="76" customWidth="1"/>
    <col min="13594" max="13594" width="9.28515625" style="76" customWidth="1"/>
    <col min="13595" max="13595" width="8.85546875" style="76" customWidth="1"/>
    <col min="13596" max="13596" width="9.140625" style="76" customWidth="1"/>
    <col min="13597" max="13597" width="8.5703125" style="76" customWidth="1"/>
    <col min="13598" max="13598" width="9" style="76" customWidth="1"/>
    <col min="13599" max="13599" width="7" style="76" customWidth="1"/>
    <col min="13600" max="13600" width="9.42578125" style="76" customWidth="1"/>
    <col min="13601" max="13601" width="8.85546875" style="76" customWidth="1"/>
    <col min="13602" max="13602" width="11.7109375" style="76" customWidth="1"/>
    <col min="13603" max="13842" width="9.140625" style="76"/>
    <col min="13843" max="13843" width="10.28515625" style="76" customWidth="1"/>
    <col min="13844" max="13844" width="0" style="76" hidden="1" customWidth="1"/>
    <col min="13845" max="13845" width="11.42578125" style="76" customWidth="1"/>
    <col min="13846" max="13846" width="10.85546875" style="76" bestFit="1" customWidth="1"/>
    <col min="13847" max="13847" width="10" style="76" bestFit="1" customWidth="1"/>
    <col min="13848" max="13848" width="8.42578125" style="76" bestFit="1" customWidth="1"/>
    <col min="13849" max="13849" width="8.42578125" style="76" customWidth="1"/>
    <col min="13850" max="13850" width="9.28515625" style="76" customWidth="1"/>
    <col min="13851" max="13851" width="8.85546875" style="76" customWidth="1"/>
    <col min="13852" max="13852" width="9.140625" style="76" customWidth="1"/>
    <col min="13853" max="13853" width="8.5703125" style="76" customWidth="1"/>
    <col min="13854" max="13854" width="9" style="76" customWidth="1"/>
    <col min="13855" max="13855" width="7" style="76" customWidth="1"/>
    <col min="13856" max="13856" width="9.42578125" style="76" customWidth="1"/>
    <col min="13857" max="13857" width="8.85546875" style="76" customWidth="1"/>
    <col min="13858" max="13858" width="11.7109375" style="76" customWidth="1"/>
    <col min="13859" max="14098" width="9.140625" style="76"/>
    <col min="14099" max="14099" width="10.28515625" style="76" customWidth="1"/>
    <col min="14100" max="14100" width="0" style="76" hidden="1" customWidth="1"/>
    <col min="14101" max="14101" width="11.42578125" style="76" customWidth="1"/>
    <col min="14102" max="14102" width="10.85546875" style="76" bestFit="1" customWidth="1"/>
    <col min="14103" max="14103" width="10" style="76" bestFit="1" customWidth="1"/>
    <col min="14104" max="14104" width="8.42578125" style="76" bestFit="1" customWidth="1"/>
    <col min="14105" max="14105" width="8.42578125" style="76" customWidth="1"/>
    <col min="14106" max="14106" width="9.28515625" style="76" customWidth="1"/>
    <col min="14107" max="14107" width="8.85546875" style="76" customWidth="1"/>
    <col min="14108" max="14108" width="9.140625" style="76" customWidth="1"/>
    <col min="14109" max="14109" width="8.5703125" style="76" customWidth="1"/>
    <col min="14110" max="14110" width="9" style="76" customWidth="1"/>
    <col min="14111" max="14111" width="7" style="76" customWidth="1"/>
    <col min="14112" max="14112" width="9.42578125" style="76" customWidth="1"/>
    <col min="14113" max="14113" width="8.85546875" style="76" customWidth="1"/>
    <col min="14114" max="14114" width="11.7109375" style="76" customWidth="1"/>
    <col min="14115" max="14354" width="9.140625" style="76"/>
    <col min="14355" max="14355" width="10.28515625" style="76" customWidth="1"/>
    <col min="14356" max="14356" width="0" style="76" hidden="1" customWidth="1"/>
    <col min="14357" max="14357" width="11.42578125" style="76" customWidth="1"/>
    <col min="14358" max="14358" width="10.85546875" style="76" bestFit="1" customWidth="1"/>
    <col min="14359" max="14359" width="10" style="76" bestFit="1" customWidth="1"/>
    <col min="14360" max="14360" width="8.42578125" style="76" bestFit="1" customWidth="1"/>
    <col min="14361" max="14361" width="8.42578125" style="76" customWidth="1"/>
    <col min="14362" max="14362" width="9.28515625" style="76" customWidth="1"/>
    <col min="14363" max="14363" width="8.85546875" style="76" customWidth="1"/>
    <col min="14364" max="14364" width="9.140625" style="76" customWidth="1"/>
    <col min="14365" max="14365" width="8.5703125" style="76" customWidth="1"/>
    <col min="14366" max="14366" width="9" style="76" customWidth="1"/>
    <col min="14367" max="14367" width="7" style="76" customWidth="1"/>
    <col min="14368" max="14368" width="9.42578125" style="76" customWidth="1"/>
    <col min="14369" max="14369" width="8.85546875" style="76" customWidth="1"/>
    <col min="14370" max="14370" width="11.7109375" style="76" customWidth="1"/>
    <col min="14371" max="14610" width="9.140625" style="76"/>
    <col min="14611" max="14611" width="10.28515625" style="76" customWidth="1"/>
    <col min="14612" max="14612" width="0" style="76" hidden="1" customWidth="1"/>
    <col min="14613" max="14613" width="11.42578125" style="76" customWidth="1"/>
    <col min="14614" max="14614" width="10.85546875" style="76" bestFit="1" customWidth="1"/>
    <col min="14615" max="14615" width="10" style="76" bestFit="1" customWidth="1"/>
    <col min="14616" max="14616" width="8.42578125" style="76" bestFit="1" customWidth="1"/>
    <col min="14617" max="14617" width="8.42578125" style="76" customWidth="1"/>
    <col min="14618" max="14618" width="9.28515625" style="76" customWidth="1"/>
    <col min="14619" max="14619" width="8.85546875" style="76" customWidth="1"/>
    <col min="14620" max="14620" width="9.140625" style="76" customWidth="1"/>
    <col min="14621" max="14621" width="8.5703125" style="76" customWidth="1"/>
    <col min="14622" max="14622" width="9" style="76" customWidth="1"/>
    <col min="14623" max="14623" width="7" style="76" customWidth="1"/>
    <col min="14624" max="14624" width="9.42578125" style="76" customWidth="1"/>
    <col min="14625" max="14625" width="8.85546875" style="76" customWidth="1"/>
    <col min="14626" max="14626" width="11.7109375" style="76" customWidth="1"/>
    <col min="14627" max="14866" width="9.140625" style="76"/>
    <col min="14867" max="14867" width="10.28515625" style="76" customWidth="1"/>
    <col min="14868" max="14868" width="0" style="76" hidden="1" customWidth="1"/>
    <col min="14869" max="14869" width="11.42578125" style="76" customWidth="1"/>
    <col min="14870" max="14870" width="10.85546875" style="76" bestFit="1" customWidth="1"/>
    <col min="14871" max="14871" width="10" style="76" bestFit="1" customWidth="1"/>
    <col min="14872" max="14872" width="8.42578125" style="76" bestFit="1" customWidth="1"/>
    <col min="14873" max="14873" width="8.42578125" style="76" customWidth="1"/>
    <col min="14874" max="14874" width="9.28515625" style="76" customWidth="1"/>
    <col min="14875" max="14875" width="8.85546875" style="76" customWidth="1"/>
    <col min="14876" max="14876" width="9.140625" style="76" customWidth="1"/>
    <col min="14877" max="14877" width="8.5703125" style="76" customWidth="1"/>
    <col min="14878" max="14878" width="9" style="76" customWidth="1"/>
    <col min="14879" max="14879" width="7" style="76" customWidth="1"/>
    <col min="14880" max="14880" width="9.42578125" style="76" customWidth="1"/>
    <col min="14881" max="14881" width="8.85546875" style="76" customWidth="1"/>
    <col min="14882" max="14882" width="11.7109375" style="76" customWidth="1"/>
    <col min="14883" max="15122" width="9.140625" style="76"/>
    <col min="15123" max="15123" width="10.28515625" style="76" customWidth="1"/>
    <col min="15124" max="15124" width="0" style="76" hidden="1" customWidth="1"/>
    <col min="15125" max="15125" width="11.42578125" style="76" customWidth="1"/>
    <col min="15126" max="15126" width="10.85546875" style="76" bestFit="1" customWidth="1"/>
    <col min="15127" max="15127" width="10" style="76" bestFit="1" customWidth="1"/>
    <col min="15128" max="15128" width="8.42578125" style="76" bestFit="1" customWidth="1"/>
    <col min="15129" max="15129" width="8.42578125" style="76" customWidth="1"/>
    <col min="15130" max="15130" width="9.28515625" style="76" customWidth="1"/>
    <col min="15131" max="15131" width="8.85546875" style="76" customWidth="1"/>
    <col min="15132" max="15132" width="9.140625" style="76" customWidth="1"/>
    <col min="15133" max="15133" width="8.5703125" style="76" customWidth="1"/>
    <col min="15134" max="15134" width="9" style="76" customWidth="1"/>
    <col min="15135" max="15135" width="7" style="76" customWidth="1"/>
    <col min="15136" max="15136" width="9.42578125" style="76" customWidth="1"/>
    <col min="15137" max="15137" width="8.85546875" style="76" customWidth="1"/>
    <col min="15138" max="15138" width="11.7109375" style="76" customWidth="1"/>
    <col min="15139" max="15378" width="9.140625" style="76"/>
    <col min="15379" max="15379" width="10.28515625" style="76" customWidth="1"/>
    <col min="15380" max="15380" width="0" style="76" hidden="1" customWidth="1"/>
    <col min="15381" max="15381" width="11.42578125" style="76" customWidth="1"/>
    <col min="15382" max="15382" width="10.85546875" style="76" bestFit="1" customWidth="1"/>
    <col min="15383" max="15383" width="10" style="76" bestFit="1" customWidth="1"/>
    <col min="15384" max="15384" width="8.42578125" style="76" bestFit="1" customWidth="1"/>
    <col min="15385" max="15385" width="8.42578125" style="76" customWidth="1"/>
    <col min="15386" max="15386" width="9.28515625" style="76" customWidth="1"/>
    <col min="15387" max="15387" width="8.85546875" style="76" customWidth="1"/>
    <col min="15388" max="15388" width="9.140625" style="76" customWidth="1"/>
    <col min="15389" max="15389" width="8.5703125" style="76" customWidth="1"/>
    <col min="15390" max="15390" width="9" style="76" customWidth="1"/>
    <col min="15391" max="15391" width="7" style="76" customWidth="1"/>
    <col min="15392" max="15392" width="9.42578125" style="76" customWidth="1"/>
    <col min="15393" max="15393" width="8.85546875" style="76" customWidth="1"/>
    <col min="15394" max="15394" width="11.7109375" style="76" customWidth="1"/>
    <col min="15395" max="15634" width="9.140625" style="76"/>
    <col min="15635" max="15635" width="10.28515625" style="76" customWidth="1"/>
    <col min="15636" max="15636" width="0" style="76" hidden="1" customWidth="1"/>
    <col min="15637" max="15637" width="11.42578125" style="76" customWidth="1"/>
    <col min="15638" max="15638" width="10.85546875" style="76" bestFit="1" customWidth="1"/>
    <col min="15639" max="15639" width="10" style="76" bestFit="1" customWidth="1"/>
    <col min="15640" max="15640" width="8.42578125" style="76" bestFit="1" customWidth="1"/>
    <col min="15641" max="15641" width="8.42578125" style="76" customWidth="1"/>
    <col min="15642" max="15642" width="9.28515625" style="76" customWidth="1"/>
    <col min="15643" max="15643" width="8.85546875" style="76" customWidth="1"/>
    <col min="15644" max="15644" width="9.140625" style="76" customWidth="1"/>
    <col min="15645" max="15645" width="8.5703125" style="76" customWidth="1"/>
    <col min="15646" max="15646" width="9" style="76" customWidth="1"/>
    <col min="15647" max="15647" width="7" style="76" customWidth="1"/>
    <col min="15648" max="15648" width="9.42578125" style="76" customWidth="1"/>
    <col min="15649" max="15649" width="8.85546875" style="76" customWidth="1"/>
    <col min="15650" max="15650" width="11.7109375" style="76" customWidth="1"/>
    <col min="15651" max="15890" width="9.140625" style="76"/>
    <col min="15891" max="15891" width="10.28515625" style="76" customWidth="1"/>
    <col min="15892" max="15892" width="0" style="76" hidden="1" customWidth="1"/>
    <col min="15893" max="15893" width="11.42578125" style="76" customWidth="1"/>
    <col min="15894" max="15894" width="10.85546875" style="76" bestFit="1" customWidth="1"/>
    <col min="15895" max="15895" width="10" style="76" bestFit="1" customWidth="1"/>
    <col min="15896" max="15896" width="8.42578125" style="76" bestFit="1" customWidth="1"/>
    <col min="15897" max="15897" width="8.42578125" style="76" customWidth="1"/>
    <col min="15898" max="15898" width="9.28515625" style="76" customWidth="1"/>
    <col min="15899" max="15899" width="8.85546875" style="76" customWidth="1"/>
    <col min="15900" max="15900" width="9.140625" style="76" customWidth="1"/>
    <col min="15901" max="15901" width="8.5703125" style="76" customWidth="1"/>
    <col min="15902" max="15902" width="9" style="76" customWidth="1"/>
    <col min="15903" max="15903" width="7" style="76" customWidth="1"/>
    <col min="15904" max="15904" width="9.42578125" style="76" customWidth="1"/>
    <col min="15905" max="15905" width="8.85546875" style="76" customWidth="1"/>
    <col min="15906" max="15906" width="11.7109375" style="76" customWidth="1"/>
    <col min="15907" max="16146" width="9.140625" style="76"/>
    <col min="16147" max="16147" width="10.28515625" style="76" customWidth="1"/>
    <col min="16148" max="16148" width="0" style="76" hidden="1" customWidth="1"/>
    <col min="16149" max="16149" width="11.42578125" style="76" customWidth="1"/>
    <col min="16150" max="16150" width="10.85546875" style="76" bestFit="1" customWidth="1"/>
    <col min="16151" max="16151" width="10" style="76" bestFit="1" customWidth="1"/>
    <col min="16152" max="16152" width="8.42578125" style="76" bestFit="1" customWidth="1"/>
    <col min="16153" max="16153" width="8.42578125" style="76" customWidth="1"/>
    <col min="16154" max="16154" width="9.28515625" style="76" customWidth="1"/>
    <col min="16155" max="16155" width="8.85546875" style="76" customWidth="1"/>
    <col min="16156" max="16156" width="9.140625" style="76" customWidth="1"/>
    <col min="16157" max="16157" width="8.5703125" style="76" customWidth="1"/>
    <col min="16158" max="16158" width="9" style="76" customWidth="1"/>
    <col min="16159" max="16159" width="7" style="76" customWidth="1"/>
    <col min="16160" max="16160" width="9.42578125" style="76" customWidth="1"/>
    <col min="16161" max="16161" width="8.85546875" style="76" customWidth="1"/>
    <col min="16162" max="16162" width="11.7109375" style="76" customWidth="1"/>
    <col min="16163" max="16384" width="9.140625" style="76"/>
  </cols>
  <sheetData>
    <row r="1" spans="1:38" ht="18">
      <c r="C1" s="123" t="s">
        <v>367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75"/>
      <c r="AJ1" s="75"/>
      <c r="AK1" s="75"/>
      <c r="AL1" s="75"/>
    </row>
    <row r="2" spans="1:38" ht="12.75">
      <c r="E2" s="77"/>
      <c r="F2" s="77"/>
      <c r="G2" s="77"/>
      <c r="H2" s="109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</row>
    <row r="3" spans="1:38" s="81" customFormat="1" ht="12.75">
      <c r="A3" s="78"/>
      <c r="B3" s="78"/>
      <c r="C3" s="10"/>
      <c r="D3" s="78"/>
      <c r="E3" s="79"/>
      <c r="F3" s="79">
        <v>210101</v>
      </c>
      <c r="G3" s="79">
        <v>210105</v>
      </c>
      <c r="H3" s="79">
        <v>210201</v>
      </c>
      <c r="I3" s="79">
        <v>210301</v>
      </c>
      <c r="J3" s="79">
        <v>210302</v>
      </c>
      <c r="K3" s="79">
        <v>210303</v>
      </c>
      <c r="L3" s="79">
        <v>210304</v>
      </c>
      <c r="M3" s="79">
        <v>210401</v>
      </c>
      <c r="N3" s="79">
        <v>210402</v>
      </c>
      <c r="O3" s="79">
        <v>210403</v>
      </c>
      <c r="P3" s="79">
        <v>210404</v>
      </c>
      <c r="Q3" s="79">
        <v>210406</v>
      </c>
      <c r="R3" s="79">
        <v>210501</v>
      </c>
      <c r="S3" s="79">
        <v>210502</v>
      </c>
      <c r="T3" s="79">
        <v>210503</v>
      </c>
      <c r="U3" s="79">
        <v>210604</v>
      </c>
      <c r="V3" s="79">
        <v>210702</v>
      </c>
      <c r="W3" s="79">
        <v>210703</v>
      </c>
      <c r="X3" s="79">
        <v>210801</v>
      </c>
      <c r="Y3" s="79">
        <v>210902</v>
      </c>
      <c r="Z3" s="79">
        <v>210802</v>
      </c>
      <c r="AA3" s="79">
        <v>210803</v>
      </c>
      <c r="AB3" s="79">
        <v>210804</v>
      </c>
      <c r="AC3" s="79">
        <v>210805</v>
      </c>
      <c r="AD3" s="79">
        <v>210806</v>
      </c>
      <c r="AE3" s="79">
        <v>210807</v>
      </c>
      <c r="AF3" s="79">
        <v>213207</v>
      </c>
      <c r="AG3" s="79">
        <v>213208</v>
      </c>
      <c r="AH3" s="79">
        <v>213209</v>
      </c>
      <c r="AI3" s="80"/>
      <c r="AJ3" s="80"/>
      <c r="AK3" s="80"/>
      <c r="AL3" s="80"/>
    </row>
    <row r="4" spans="1:38" ht="49.5" customHeight="1">
      <c r="A4" s="95"/>
      <c r="B4" s="95" t="s">
        <v>307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40</v>
      </c>
      <c r="H4" s="5" t="s">
        <v>8</v>
      </c>
      <c r="I4" s="5" t="s">
        <v>9</v>
      </c>
      <c r="J4" s="5" t="s">
        <v>10</v>
      </c>
      <c r="K4" s="5" t="s">
        <v>33</v>
      </c>
      <c r="L4" s="5" t="s">
        <v>18</v>
      </c>
      <c r="M4" s="5" t="s">
        <v>32</v>
      </c>
      <c r="N4" s="5" t="s">
        <v>34</v>
      </c>
      <c r="O4" s="5" t="s">
        <v>12</v>
      </c>
      <c r="P4" s="5" t="s">
        <v>35</v>
      </c>
      <c r="Q4" s="5" t="s">
        <v>36</v>
      </c>
      <c r="R4" s="5" t="s">
        <v>16</v>
      </c>
      <c r="S4" s="5" t="s">
        <v>15</v>
      </c>
      <c r="T4" s="5" t="s">
        <v>244</v>
      </c>
      <c r="U4" s="5" t="s">
        <v>17</v>
      </c>
      <c r="V4" s="5" t="s">
        <v>14</v>
      </c>
      <c r="W4" s="5" t="s">
        <v>298</v>
      </c>
      <c r="X4" s="5" t="s">
        <v>45</v>
      </c>
      <c r="Y4" s="5" t="s">
        <v>260</v>
      </c>
      <c r="Z4" s="5" t="s">
        <v>42</v>
      </c>
      <c r="AA4" s="5" t="s">
        <v>43</v>
      </c>
      <c r="AB4" s="5" t="s">
        <v>243</v>
      </c>
      <c r="AC4" s="5" t="s">
        <v>252</v>
      </c>
      <c r="AD4" s="5" t="s">
        <v>282</v>
      </c>
      <c r="AE4" s="5" t="s">
        <v>37</v>
      </c>
      <c r="AF4" s="5" t="s">
        <v>38</v>
      </c>
      <c r="AG4" s="5" t="s">
        <v>41</v>
      </c>
      <c r="AH4" s="5" t="s">
        <v>39</v>
      </c>
    </row>
    <row r="5" spans="1:38" ht="16.5" customHeight="1">
      <c r="A5" s="95"/>
      <c r="B5" s="95"/>
      <c r="C5" s="6" t="s">
        <v>19</v>
      </c>
      <c r="D5" s="8">
        <f>SUM(D6:D65)</f>
        <v>0</v>
      </c>
      <c r="E5" s="8">
        <f t="shared" ref="E5:AH5" si="0">SUM(E6:E65)</f>
        <v>3352715294.5500002</v>
      </c>
      <c r="F5" s="8">
        <f t="shared" si="0"/>
        <v>1365901794</v>
      </c>
      <c r="G5" s="8">
        <f t="shared" si="0"/>
        <v>0</v>
      </c>
      <c r="H5" s="8">
        <f t="shared" si="0"/>
        <v>151472177</v>
      </c>
      <c r="I5" s="8">
        <f t="shared" si="0"/>
        <v>30598004.619999997</v>
      </c>
      <c r="J5" s="8">
        <f t="shared" si="0"/>
        <v>41362659.930000007</v>
      </c>
      <c r="K5" s="8">
        <f t="shared" si="0"/>
        <v>8036213</v>
      </c>
      <c r="L5" s="8">
        <f t="shared" si="0"/>
        <v>42953777</v>
      </c>
      <c r="M5" s="8">
        <f t="shared" si="0"/>
        <v>8505595</v>
      </c>
      <c r="N5" s="8">
        <f t="shared" si="0"/>
        <v>1970113</v>
      </c>
      <c r="O5" s="8">
        <f t="shared" si="0"/>
        <v>3944247</v>
      </c>
      <c r="P5" s="8">
        <f t="shared" si="0"/>
        <v>7700000</v>
      </c>
      <c r="Q5" s="8">
        <f t="shared" si="0"/>
        <v>6041310</v>
      </c>
      <c r="R5" s="8">
        <f t="shared" si="0"/>
        <v>850350</v>
      </c>
      <c r="S5" s="8">
        <f t="shared" si="0"/>
        <v>18307395</v>
      </c>
      <c r="T5" s="8">
        <f t="shared" si="0"/>
        <v>0</v>
      </c>
      <c r="U5" s="8">
        <f t="shared" si="0"/>
        <v>28481350</v>
      </c>
      <c r="V5" s="8">
        <f t="shared" si="0"/>
        <v>2610100</v>
      </c>
      <c r="W5" s="8">
        <f t="shared" si="0"/>
        <v>0</v>
      </c>
      <c r="X5" s="8">
        <f t="shared" si="0"/>
        <v>28575983</v>
      </c>
      <c r="Y5" s="8">
        <f t="shared" si="0"/>
        <v>0</v>
      </c>
      <c r="Z5" s="8">
        <f t="shared" si="0"/>
        <v>720000</v>
      </c>
      <c r="AA5" s="8">
        <f t="shared" si="0"/>
        <v>3471000</v>
      </c>
      <c r="AB5" s="8">
        <f t="shared" si="0"/>
        <v>1470970</v>
      </c>
      <c r="AC5" s="8">
        <f t="shared" si="0"/>
        <v>236500</v>
      </c>
      <c r="AD5" s="8">
        <f t="shared" si="0"/>
        <v>121000</v>
      </c>
      <c r="AE5" s="8">
        <f t="shared" si="0"/>
        <v>1049384</v>
      </c>
      <c r="AF5" s="8">
        <f t="shared" si="0"/>
        <v>1535891812</v>
      </c>
      <c r="AG5" s="8">
        <f t="shared" si="0"/>
        <v>61869060</v>
      </c>
      <c r="AH5" s="8">
        <f t="shared" si="0"/>
        <v>574500</v>
      </c>
    </row>
    <row r="6" spans="1:38" ht="27" customHeight="1">
      <c r="A6" s="95">
        <v>1</v>
      </c>
      <c r="B6" s="110" t="s">
        <v>308</v>
      </c>
      <c r="C6" s="103" t="s">
        <v>261</v>
      </c>
      <c r="D6" s="82"/>
      <c r="E6" s="11">
        <f t="shared" ref="E6:E18" si="1">SUM(F6:AH6)</f>
        <v>7023673</v>
      </c>
      <c r="F6" s="82">
        <v>6193003</v>
      </c>
      <c r="G6" s="82"/>
      <c r="H6" s="82"/>
      <c r="I6" s="82">
        <v>360670</v>
      </c>
      <c r="J6" s="82"/>
      <c r="K6" s="82"/>
      <c r="L6" s="82"/>
      <c r="M6" s="82"/>
      <c r="N6" s="82"/>
      <c r="O6" s="82">
        <v>60000</v>
      </c>
      <c r="P6" s="82"/>
      <c r="Q6" s="82"/>
      <c r="R6" s="82"/>
      <c r="S6" s="82"/>
      <c r="T6" s="82"/>
      <c r="U6" s="82">
        <v>410000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8" ht="27" customHeight="1">
      <c r="A7" s="95">
        <v>2</v>
      </c>
      <c r="B7" s="110" t="s">
        <v>309</v>
      </c>
      <c r="C7" s="103" t="s">
        <v>262</v>
      </c>
      <c r="D7" s="82"/>
      <c r="E7" s="11">
        <f t="shared" si="1"/>
        <v>0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8" ht="27" customHeight="1">
      <c r="A8" s="95">
        <v>3</v>
      </c>
      <c r="B8" s="110" t="s">
        <v>310</v>
      </c>
      <c r="C8" s="103" t="s">
        <v>263</v>
      </c>
      <c r="D8" s="82"/>
      <c r="E8" s="11">
        <f t="shared" si="1"/>
        <v>15529163</v>
      </c>
      <c r="F8" s="82">
        <v>14480886</v>
      </c>
      <c r="G8" s="82"/>
      <c r="H8" s="82">
        <v>111664</v>
      </c>
      <c r="I8" s="82"/>
      <c r="J8" s="82"/>
      <c r="K8" s="82"/>
      <c r="L8" s="82"/>
      <c r="M8" s="82">
        <v>87900</v>
      </c>
      <c r="N8" s="82">
        <v>281313</v>
      </c>
      <c r="O8" s="82"/>
      <c r="P8" s="82"/>
      <c r="Q8" s="82"/>
      <c r="R8" s="82"/>
      <c r="S8" s="82"/>
      <c r="T8" s="82"/>
      <c r="U8" s="82">
        <v>399400</v>
      </c>
      <c r="V8" s="82"/>
      <c r="W8" s="82"/>
      <c r="X8" s="82">
        <v>168000</v>
      </c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8" ht="27" customHeight="1">
      <c r="A9" s="95">
        <v>4</v>
      </c>
      <c r="B9" s="110" t="s">
        <v>311</v>
      </c>
      <c r="C9" s="103" t="s">
        <v>264</v>
      </c>
      <c r="D9" s="82"/>
      <c r="E9" s="11">
        <f t="shared" si="1"/>
        <v>24894389</v>
      </c>
      <c r="F9" s="82">
        <v>18370375</v>
      </c>
      <c r="G9" s="82"/>
      <c r="H9" s="82"/>
      <c r="I9" s="82">
        <v>3127503</v>
      </c>
      <c r="J9" s="82"/>
      <c r="K9" s="82">
        <v>2683311</v>
      </c>
      <c r="L9" s="82"/>
      <c r="M9" s="82"/>
      <c r="N9" s="82"/>
      <c r="O9" s="82"/>
      <c r="P9" s="82"/>
      <c r="Q9" s="82"/>
      <c r="R9" s="82"/>
      <c r="S9" s="82"/>
      <c r="T9" s="82"/>
      <c r="U9" s="82">
        <v>713200</v>
      </c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1:38" ht="27" customHeight="1">
      <c r="A10" s="95">
        <v>5</v>
      </c>
      <c r="B10" s="110" t="s">
        <v>312</v>
      </c>
      <c r="C10" s="62" t="s">
        <v>265</v>
      </c>
      <c r="D10" s="82"/>
      <c r="E10" s="11">
        <f t="shared" si="1"/>
        <v>0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</row>
    <row r="11" spans="1:38" ht="27" customHeight="1">
      <c r="A11" s="95">
        <v>6</v>
      </c>
      <c r="B11" s="110" t="s">
        <v>313</v>
      </c>
      <c r="C11" s="103" t="s">
        <v>268</v>
      </c>
      <c r="D11" s="82"/>
      <c r="E11" s="11">
        <f t="shared" si="1"/>
        <v>5397361</v>
      </c>
      <c r="F11" s="82"/>
      <c r="G11" s="82"/>
      <c r="H11" s="82">
        <v>276381</v>
      </c>
      <c r="I11" s="82"/>
      <c r="J11" s="82"/>
      <c r="K11" s="82"/>
      <c r="L11" s="82"/>
      <c r="M11" s="82">
        <v>860980</v>
      </c>
      <c r="N11" s="82"/>
      <c r="O11" s="82"/>
      <c r="P11" s="82"/>
      <c r="Q11" s="82"/>
      <c r="R11" s="82"/>
      <c r="S11" s="82"/>
      <c r="T11" s="82"/>
      <c r="U11" s="82">
        <v>4000000</v>
      </c>
      <c r="V11" s="82"/>
      <c r="W11" s="82"/>
      <c r="X11" s="82"/>
      <c r="Y11" s="82"/>
      <c r="Z11" s="82"/>
      <c r="AA11" s="82"/>
      <c r="AB11" s="82"/>
      <c r="AC11" s="82"/>
      <c r="AD11" s="82"/>
      <c r="AE11" s="82">
        <v>260000</v>
      </c>
      <c r="AF11" s="82"/>
      <c r="AG11" s="82"/>
      <c r="AH11" s="82"/>
    </row>
    <row r="12" spans="1:38" ht="27" customHeight="1">
      <c r="A12" s="95">
        <v>7</v>
      </c>
      <c r="B12" s="110" t="s">
        <v>314</v>
      </c>
      <c r="C12" s="103" t="s">
        <v>289</v>
      </c>
      <c r="D12" s="82"/>
      <c r="E12" s="11">
        <f t="shared" si="1"/>
        <v>15519378</v>
      </c>
      <c r="F12" s="82">
        <v>11226925</v>
      </c>
      <c r="G12" s="82"/>
      <c r="H12" s="82">
        <v>3976298</v>
      </c>
      <c r="I12" s="82"/>
      <c r="J12" s="82"/>
      <c r="K12" s="82"/>
      <c r="L12" s="82"/>
      <c r="M12" s="82">
        <v>316155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</row>
    <row r="13" spans="1:38" ht="27" customHeight="1">
      <c r="A13" s="95">
        <v>8</v>
      </c>
      <c r="B13" s="110" t="s">
        <v>315</v>
      </c>
      <c r="C13" s="103" t="s">
        <v>267</v>
      </c>
      <c r="D13" s="82"/>
      <c r="E13" s="11">
        <f t="shared" si="1"/>
        <v>11180794</v>
      </c>
      <c r="F13" s="82">
        <v>10922294</v>
      </c>
      <c r="G13" s="82"/>
      <c r="H13" s="82"/>
      <c r="I13" s="82"/>
      <c r="J13" s="82"/>
      <c r="K13" s="82"/>
      <c r="L13" s="82"/>
      <c r="M13" s="82">
        <v>258500</v>
      </c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</row>
    <row r="14" spans="1:38" ht="27" customHeight="1">
      <c r="A14" s="95">
        <v>9</v>
      </c>
      <c r="B14" s="110" t="s">
        <v>316</v>
      </c>
      <c r="C14" s="103" t="s">
        <v>269</v>
      </c>
      <c r="D14" s="82"/>
      <c r="E14" s="11">
        <f t="shared" si="1"/>
        <v>29188753</v>
      </c>
      <c r="F14" s="82">
        <v>24492662</v>
      </c>
      <c r="G14" s="82"/>
      <c r="H14" s="82">
        <v>1402266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>
        <v>2001810</v>
      </c>
      <c r="V14" s="82"/>
      <c r="W14" s="82"/>
      <c r="X14" s="82">
        <v>605400</v>
      </c>
      <c r="Y14" s="82"/>
      <c r="Z14" s="82"/>
      <c r="AA14" s="82">
        <v>577075</v>
      </c>
      <c r="AB14" s="82"/>
      <c r="AC14" s="82"/>
      <c r="AD14" s="82"/>
      <c r="AE14" s="82">
        <v>109540</v>
      </c>
      <c r="AF14" s="82"/>
      <c r="AG14" s="82"/>
      <c r="AH14" s="82"/>
    </row>
    <row r="15" spans="1:38" ht="27" customHeight="1">
      <c r="A15" s="95">
        <v>10</v>
      </c>
      <c r="B15" s="110" t="s">
        <v>317</v>
      </c>
      <c r="C15" s="103" t="s">
        <v>270</v>
      </c>
      <c r="D15" s="82"/>
      <c r="E15" s="11">
        <f t="shared" si="1"/>
        <v>32279585</v>
      </c>
      <c r="F15" s="82">
        <v>24651358</v>
      </c>
      <c r="G15" s="82"/>
      <c r="H15" s="82">
        <v>4436402</v>
      </c>
      <c r="I15" s="82"/>
      <c r="J15" s="82"/>
      <c r="K15" s="82"/>
      <c r="L15" s="82"/>
      <c r="M15" s="82"/>
      <c r="N15" s="82"/>
      <c r="O15" s="82"/>
      <c r="P15" s="82"/>
      <c r="Q15" s="82">
        <v>1049000</v>
      </c>
      <c r="R15" s="82"/>
      <c r="S15" s="82"/>
      <c r="T15" s="82"/>
      <c r="U15" s="82"/>
      <c r="V15" s="82"/>
      <c r="W15" s="82"/>
      <c r="X15" s="82">
        <v>0</v>
      </c>
      <c r="Y15" s="82"/>
      <c r="Z15" s="82">
        <v>432000</v>
      </c>
      <c r="AA15" s="82">
        <v>1710825</v>
      </c>
      <c r="AB15" s="82"/>
      <c r="AC15" s="82"/>
      <c r="AD15" s="82"/>
      <c r="AE15" s="82"/>
      <c r="AF15" s="82"/>
      <c r="AG15" s="82"/>
      <c r="AH15" s="82"/>
    </row>
    <row r="16" spans="1:38" ht="27" customHeight="1">
      <c r="A16" s="95">
        <v>11</v>
      </c>
      <c r="B16" s="110" t="s">
        <v>318</v>
      </c>
      <c r="C16" s="103" t="s">
        <v>272</v>
      </c>
      <c r="D16" s="82"/>
      <c r="E16" s="11">
        <f t="shared" si="1"/>
        <v>12317926</v>
      </c>
      <c r="F16" s="82">
        <v>11781545</v>
      </c>
      <c r="G16" s="82"/>
      <c r="H16" s="82">
        <v>276381</v>
      </c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>
        <v>260000</v>
      </c>
      <c r="AF16" s="82"/>
      <c r="AG16" s="82"/>
      <c r="AH16" s="82"/>
    </row>
    <row r="17" spans="1:34" ht="27" customHeight="1">
      <c r="A17" s="95">
        <v>12</v>
      </c>
      <c r="B17" s="110" t="s">
        <v>319</v>
      </c>
      <c r="C17" s="103" t="s">
        <v>290</v>
      </c>
      <c r="D17" s="82"/>
      <c r="E17" s="11">
        <f t="shared" si="1"/>
        <v>15811536</v>
      </c>
      <c r="F17" s="82">
        <v>12699155</v>
      </c>
      <c r="G17" s="82"/>
      <c r="H17" s="82">
        <v>473570</v>
      </c>
      <c r="I17" s="82">
        <v>174611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>
        <v>2302800</v>
      </c>
      <c r="V17" s="82"/>
      <c r="W17" s="82"/>
      <c r="X17" s="82"/>
      <c r="Y17" s="82"/>
      <c r="Z17" s="82"/>
      <c r="AA17" s="82">
        <v>98800</v>
      </c>
      <c r="AB17" s="82"/>
      <c r="AC17" s="82"/>
      <c r="AD17" s="82"/>
      <c r="AE17" s="82">
        <v>62600</v>
      </c>
      <c r="AF17" s="82"/>
      <c r="AG17" s="82"/>
      <c r="AH17" s="82"/>
    </row>
    <row r="18" spans="1:34" ht="27" customHeight="1">
      <c r="A18" s="95">
        <v>13</v>
      </c>
      <c r="B18" s="110" t="s">
        <v>320</v>
      </c>
      <c r="C18" s="103" t="s">
        <v>273</v>
      </c>
      <c r="D18" s="82"/>
      <c r="E18" s="11">
        <f t="shared" si="1"/>
        <v>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</row>
    <row r="19" spans="1:34" ht="27" customHeight="1">
      <c r="A19" s="95">
        <v>14</v>
      </c>
      <c r="B19" s="110" t="s">
        <v>321</v>
      </c>
      <c r="C19" s="103" t="s">
        <v>274</v>
      </c>
      <c r="D19" s="82"/>
      <c r="E19" s="11">
        <f t="shared" ref="E19:E64" si="2">SUM(F19:AH19)</f>
        <v>9257293</v>
      </c>
      <c r="F19" s="82">
        <f>2187849+353230</f>
        <v>2541079</v>
      </c>
      <c r="G19" s="82"/>
      <c r="H19" s="82">
        <v>2342468</v>
      </c>
      <c r="I19" s="82"/>
      <c r="J19" s="82">
        <v>4373746</v>
      </c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</row>
    <row r="20" spans="1:34" ht="27" customHeight="1">
      <c r="A20" s="95">
        <v>15</v>
      </c>
      <c r="B20" s="110" t="s">
        <v>322</v>
      </c>
      <c r="C20" s="103" t="s">
        <v>276</v>
      </c>
      <c r="D20" s="82"/>
      <c r="E20" s="11">
        <f t="shared" si="2"/>
        <v>28305783</v>
      </c>
      <c r="F20" s="82">
        <v>25770963</v>
      </c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>
        <v>2534820</v>
      </c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</row>
    <row r="21" spans="1:34" ht="27" customHeight="1">
      <c r="A21" s="95">
        <v>16</v>
      </c>
      <c r="B21" s="110" t="s">
        <v>323</v>
      </c>
      <c r="C21" s="103" t="s">
        <v>253</v>
      </c>
      <c r="D21" s="82"/>
      <c r="E21" s="11">
        <f t="shared" si="2"/>
        <v>0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</row>
    <row r="22" spans="1:34" ht="27" customHeight="1">
      <c r="A22" s="95">
        <v>17</v>
      </c>
      <c r="B22" s="110" t="s">
        <v>324</v>
      </c>
      <c r="C22" s="103" t="s">
        <v>288</v>
      </c>
      <c r="D22" s="82"/>
      <c r="E22" s="11">
        <f t="shared" si="2"/>
        <v>4588293</v>
      </c>
      <c r="F22" s="82"/>
      <c r="G22" s="82"/>
      <c r="H22" s="82"/>
      <c r="I22" s="82">
        <v>3209225</v>
      </c>
      <c r="J22" s="82">
        <v>320859</v>
      </c>
      <c r="K22" s="82">
        <v>1058209</v>
      </c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</row>
    <row r="23" spans="1:34" ht="27" customHeight="1">
      <c r="A23" s="95">
        <v>18</v>
      </c>
      <c r="B23" s="110" t="s">
        <v>325</v>
      </c>
      <c r="C23" s="103" t="s">
        <v>275</v>
      </c>
      <c r="D23" s="82"/>
      <c r="E23" s="11">
        <f t="shared" si="2"/>
        <v>65705241</v>
      </c>
      <c r="F23" s="82">
        <v>62021196</v>
      </c>
      <c r="G23" s="82"/>
      <c r="H23" s="82"/>
      <c r="I23" s="82">
        <v>1495025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>
        <v>2189020</v>
      </c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</row>
    <row r="24" spans="1:34" ht="27" customHeight="1">
      <c r="A24" s="95">
        <v>19</v>
      </c>
      <c r="B24" s="110" t="s">
        <v>326</v>
      </c>
      <c r="C24" s="103" t="s">
        <v>277</v>
      </c>
      <c r="D24" s="82"/>
      <c r="E24" s="11">
        <f t="shared" si="2"/>
        <v>29714598</v>
      </c>
      <c r="F24" s="82">
        <v>20574830</v>
      </c>
      <c r="G24" s="82"/>
      <c r="H24" s="82">
        <v>69724</v>
      </c>
      <c r="I24" s="82"/>
      <c r="J24" s="82"/>
      <c r="K24" s="82"/>
      <c r="L24" s="82"/>
      <c r="M24" s="82"/>
      <c r="N24" s="82"/>
      <c r="O24" s="82"/>
      <c r="P24" s="82"/>
      <c r="Q24" s="82"/>
      <c r="R24" s="82">
        <v>90000</v>
      </c>
      <c r="S24" s="82"/>
      <c r="T24" s="82"/>
      <c r="U24" s="82">
        <v>4441700</v>
      </c>
      <c r="V24" s="82">
        <v>2101700</v>
      </c>
      <c r="W24" s="82"/>
      <c r="X24" s="82">
        <f>357000+406800+95600</f>
        <v>859400</v>
      </c>
      <c r="Y24" s="82"/>
      <c r="Z24" s="82">
        <v>288000</v>
      </c>
      <c r="AA24" s="82"/>
      <c r="AB24" s="82"/>
      <c r="AC24" s="82">
        <v>236500</v>
      </c>
      <c r="AD24" s="82">
        <v>121000</v>
      </c>
      <c r="AE24" s="82">
        <v>357244</v>
      </c>
      <c r="AF24" s="82"/>
      <c r="AG24" s="82"/>
      <c r="AH24" s="82">
        <v>574500</v>
      </c>
    </row>
    <row r="25" spans="1:34" ht="27" customHeight="1">
      <c r="A25" s="95">
        <v>20</v>
      </c>
      <c r="B25" s="110" t="s">
        <v>327</v>
      </c>
      <c r="C25" s="103" t="s">
        <v>278</v>
      </c>
      <c r="D25" s="82"/>
      <c r="E25" s="11">
        <f t="shared" si="2"/>
        <v>4210500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>
        <f>18000+4192500</f>
        <v>4210500</v>
      </c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</row>
    <row r="26" spans="1:34" ht="27" customHeight="1">
      <c r="A26" s="95">
        <v>21</v>
      </c>
      <c r="B26" s="110" t="s">
        <v>328</v>
      </c>
      <c r="C26" s="103" t="s">
        <v>279</v>
      </c>
      <c r="D26" s="82"/>
      <c r="E26" s="11">
        <f t="shared" si="2"/>
        <v>19415623</v>
      </c>
      <c r="F26" s="82">
        <v>18331323</v>
      </c>
      <c r="G26" s="82"/>
      <c r="H26" s="113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>
        <v>1084300</v>
      </c>
      <c r="AB26" s="82"/>
      <c r="AC26" s="82"/>
      <c r="AD26" s="82"/>
      <c r="AE26" s="82"/>
      <c r="AF26" s="82"/>
      <c r="AG26" s="82"/>
      <c r="AH26" s="82"/>
    </row>
    <row r="27" spans="1:34" ht="27" customHeight="1">
      <c r="A27" s="95">
        <v>22</v>
      </c>
      <c r="B27" s="110" t="s">
        <v>329</v>
      </c>
      <c r="C27" s="103" t="s">
        <v>280</v>
      </c>
      <c r="D27" s="82"/>
      <c r="E27" s="11">
        <f t="shared" si="2"/>
        <v>36166076</v>
      </c>
      <c r="F27" s="82">
        <v>2978389</v>
      </c>
      <c r="G27" s="82"/>
      <c r="H27" s="82"/>
      <c r="I27" s="82">
        <v>607250</v>
      </c>
      <c r="J27" s="82">
        <v>6266100</v>
      </c>
      <c r="K27" s="82"/>
      <c r="L27" s="82"/>
      <c r="M27" s="82"/>
      <c r="N27" s="82"/>
      <c r="O27" s="82">
        <v>3063120</v>
      </c>
      <c r="P27" s="82"/>
      <c r="Q27" s="82"/>
      <c r="R27" s="82"/>
      <c r="S27" s="82"/>
      <c r="T27" s="82"/>
      <c r="U27" s="82">
        <v>3729900</v>
      </c>
      <c r="V27" s="82"/>
      <c r="W27" s="82"/>
      <c r="X27" s="82">
        <v>19521317</v>
      </c>
      <c r="Y27" s="82"/>
      <c r="Z27" s="82"/>
      <c r="AA27" s="82"/>
      <c r="AB27" s="82"/>
      <c r="AC27" s="82"/>
      <c r="AD27" s="82"/>
      <c r="AE27" s="82"/>
      <c r="AF27" s="82"/>
      <c r="AG27" s="82"/>
      <c r="AH27" s="82"/>
    </row>
    <row r="28" spans="1:34" ht="27" customHeight="1">
      <c r="A28" s="95">
        <v>23</v>
      </c>
      <c r="B28" s="110" t="s">
        <v>330</v>
      </c>
      <c r="C28" s="103" t="s">
        <v>266</v>
      </c>
      <c r="D28" s="82"/>
      <c r="E28" s="11">
        <f t="shared" si="2"/>
        <v>47028336</v>
      </c>
      <c r="F28" s="82">
        <v>35108838</v>
      </c>
      <c r="G28" s="82"/>
      <c r="H28" s="82"/>
      <c r="I28" s="82">
        <v>1825684</v>
      </c>
      <c r="J28" s="82">
        <v>4925494</v>
      </c>
      <c r="K28" s="82">
        <v>1764470</v>
      </c>
      <c r="L28" s="82"/>
      <c r="M28" s="82">
        <v>1125050</v>
      </c>
      <c r="N28" s="82">
        <v>1688800</v>
      </c>
      <c r="O28" s="82"/>
      <c r="P28" s="82"/>
      <c r="Q28" s="82"/>
      <c r="R28" s="82"/>
      <c r="S28" s="82">
        <v>139500</v>
      </c>
      <c r="T28" s="82"/>
      <c r="U28" s="82">
        <v>134100</v>
      </c>
      <c r="V28" s="82">
        <v>316400</v>
      </c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</row>
    <row r="29" spans="1:34" ht="27" customHeight="1">
      <c r="A29" s="95">
        <v>24</v>
      </c>
      <c r="B29" s="110" t="s">
        <v>331</v>
      </c>
      <c r="C29" s="62" t="s">
        <v>161</v>
      </c>
      <c r="D29" s="82"/>
      <c r="E29" s="11">
        <f t="shared" ref="E29:E47" si="3">SUM(F29:AH29)</f>
        <v>175015455</v>
      </c>
      <c r="F29" s="82">
        <v>147147502</v>
      </c>
      <c r="G29" s="82"/>
      <c r="H29" s="82"/>
      <c r="I29" s="82">
        <v>3131895</v>
      </c>
      <c r="J29" s="82"/>
      <c r="K29" s="82">
        <v>743526</v>
      </c>
      <c r="L29" s="82">
        <v>22342532</v>
      </c>
      <c r="M29" s="82"/>
      <c r="N29" s="82"/>
      <c r="O29" s="82"/>
      <c r="P29" s="82"/>
      <c r="Q29" s="82"/>
      <c r="R29" s="82"/>
      <c r="S29" s="82"/>
      <c r="T29" s="95"/>
      <c r="U29" s="82"/>
      <c r="V29" s="82"/>
      <c r="W29" s="82"/>
      <c r="X29" s="82">
        <v>1650000</v>
      </c>
      <c r="Y29" s="95"/>
      <c r="Z29" s="82"/>
      <c r="AA29" s="82"/>
      <c r="AB29" s="95"/>
      <c r="AC29" s="82"/>
      <c r="AD29" s="95"/>
      <c r="AE29" s="82"/>
      <c r="AF29" s="82"/>
      <c r="AG29" s="82"/>
      <c r="AH29" s="82"/>
    </row>
    <row r="30" spans="1:34" ht="27" customHeight="1">
      <c r="A30" s="95">
        <v>25</v>
      </c>
      <c r="B30" s="110" t="s">
        <v>332</v>
      </c>
      <c r="C30" s="62" t="s">
        <v>160</v>
      </c>
      <c r="D30" s="111"/>
      <c r="E30" s="11">
        <f t="shared" si="3"/>
        <v>0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95"/>
      <c r="U30" s="82"/>
      <c r="V30" s="82"/>
      <c r="W30" s="82"/>
      <c r="X30" s="82"/>
      <c r="Y30" s="95"/>
      <c r="Z30" s="82"/>
      <c r="AA30" s="82"/>
      <c r="AB30" s="95"/>
      <c r="AC30" s="82"/>
      <c r="AD30" s="95"/>
      <c r="AE30" s="82"/>
      <c r="AF30" s="82"/>
      <c r="AG30" s="82"/>
      <c r="AH30" s="82"/>
    </row>
    <row r="31" spans="1:34" ht="27" customHeight="1">
      <c r="A31" s="95">
        <v>26</v>
      </c>
      <c r="B31" s="110" t="s">
        <v>333</v>
      </c>
      <c r="C31" s="93" t="s">
        <v>154</v>
      </c>
      <c r="D31" s="11"/>
      <c r="E31" s="11">
        <f t="shared" si="3"/>
        <v>21645524.619999997</v>
      </c>
      <c r="F31" s="11">
        <v>15396937</v>
      </c>
      <c r="G31" s="11"/>
      <c r="H31" s="11"/>
      <c r="I31" s="11">
        <v>848587.62</v>
      </c>
      <c r="J31" s="11">
        <v>5400000</v>
      </c>
      <c r="K31" s="11"/>
      <c r="L31" s="11"/>
      <c r="M31" s="11"/>
      <c r="N31" s="11"/>
      <c r="O31" s="11"/>
      <c r="P31" s="11"/>
      <c r="Q31" s="11"/>
      <c r="R31" s="11"/>
      <c r="S31" s="11"/>
      <c r="T31" s="95"/>
      <c r="U31" s="11"/>
      <c r="V31" s="11"/>
      <c r="W31" s="11"/>
      <c r="X31" s="11"/>
      <c r="Y31" s="95"/>
      <c r="Z31" s="11"/>
      <c r="AA31" s="11"/>
      <c r="AB31" s="95"/>
      <c r="AC31" s="11"/>
      <c r="AD31" s="95"/>
      <c r="AE31" s="11"/>
      <c r="AF31" s="11"/>
      <c r="AG31" s="11"/>
      <c r="AH31" s="11"/>
    </row>
    <row r="32" spans="1:34" ht="27" customHeight="1">
      <c r="A32" s="95">
        <v>27</v>
      </c>
      <c r="B32" s="110">
        <v>200012005</v>
      </c>
      <c r="C32" s="93" t="s">
        <v>146</v>
      </c>
      <c r="D32" s="11"/>
      <c r="E32" s="11">
        <f t="shared" si="3"/>
        <v>4545430</v>
      </c>
      <c r="F32" s="11"/>
      <c r="G32" s="11"/>
      <c r="H32" s="11"/>
      <c r="I32" s="11">
        <v>1082159</v>
      </c>
      <c r="J32" s="11">
        <v>3463271</v>
      </c>
      <c r="K32" s="11"/>
      <c r="L32" s="11"/>
      <c r="M32" s="11"/>
      <c r="N32" s="11"/>
      <c r="O32" s="11"/>
      <c r="P32" s="11"/>
      <c r="Q32" s="11"/>
      <c r="R32" s="11"/>
      <c r="S32" s="11"/>
      <c r="T32" s="95"/>
      <c r="U32" s="11"/>
      <c r="V32" s="11"/>
      <c r="W32" s="11"/>
      <c r="X32" s="11"/>
      <c r="Y32" s="95"/>
      <c r="Z32" s="11"/>
      <c r="AA32" s="11"/>
      <c r="AB32" s="95"/>
      <c r="AC32" s="11"/>
      <c r="AD32" s="95"/>
      <c r="AE32" s="11"/>
      <c r="AF32" s="11"/>
      <c r="AG32" s="11"/>
      <c r="AH32" s="11"/>
    </row>
    <row r="33" spans="1:34" ht="27" customHeight="1">
      <c r="A33" s="95">
        <v>28</v>
      </c>
      <c r="B33" s="110" t="s">
        <v>334</v>
      </c>
      <c r="C33" s="93" t="s">
        <v>157</v>
      </c>
      <c r="D33" s="11"/>
      <c r="E33" s="11">
        <f t="shared" si="3"/>
        <v>3431780.23</v>
      </c>
      <c r="F33" s="11">
        <v>1948943</v>
      </c>
      <c r="G33" s="11"/>
      <c r="H33" s="11"/>
      <c r="I33" s="11"/>
      <c r="J33" s="11">
        <v>1230487.23</v>
      </c>
      <c r="K33" s="11"/>
      <c r="L33" s="11"/>
      <c r="M33" s="11"/>
      <c r="N33" s="11"/>
      <c r="O33" s="11"/>
      <c r="P33" s="11"/>
      <c r="Q33" s="11">
        <v>252350</v>
      </c>
      <c r="R33" s="11"/>
      <c r="S33" s="11"/>
      <c r="T33" s="95"/>
      <c r="U33" s="11"/>
      <c r="V33" s="11"/>
      <c r="W33" s="11"/>
      <c r="X33" s="11"/>
      <c r="Y33" s="95"/>
      <c r="Z33" s="11"/>
      <c r="AA33" s="11"/>
      <c r="AB33" s="95"/>
      <c r="AC33" s="11"/>
      <c r="AD33" s="95"/>
      <c r="AE33" s="11"/>
      <c r="AF33" s="11"/>
      <c r="AG33" s="11"/>
      <c r="AH33" s="11"/>
    </row>
    <row r="34" spans="1:34" ht="27" customHeight="1">
      <c r="A34" s="95">
        <v>29</v>
      </c>
      <c r="B34" s="110" t="s">
        <v>335</v>
      </c>
      <c r="C34" s="93" t="s">
        <v>149</v>
      </c>
      <c r="D34" s="11"/>
      <c r="E34" s="11">
        <f t="shared" si="3"/>
        <v>10350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>
        <v>10350</v>
      </c>
      <c r="S34" s="11"/>
      <c r="T34" s="95"/>
      <c r="U34" s="11"/>
      <c r="V34" s="11"/>
      <c r="W34" s="11"/>
      <c r="X34" s="11"/>
      <c r="Y34" s="95"/>
      <c r="Z34" s="11"/>
      <c r="AA34" s="11"/>
      <c r="AB34" s="95"/>
      <c r="AC34" s="11"/>
      <c r="AD34" s="95"/>
      <c r="AE34" s="11"/>
      <c r="AF34" s="11"/>
      <c r="AG34" s="11"/>
      <c r="AH34" s="11"/>
    </row>
    <row r="35" spans="1:34" ht="27" customHeight="1">
      <c r="A35" s="95">
        <v>30</v>
      </c>
      <c r="B35" s="110" t="s">
        <v>336</v>
      </c>
      <c r="C35" s="93" t="s">
        <v>158</v>
      </c>
      <c r="D35" s="11"/>
      <c r="E35" s="11">
        <f t="shared" si="3"/>
        <v>38151584</v>
      </c>
      <c r="F35" s="11">
        <v>30849963</v>
      </c>
      <c r="G35" s="11"/>
      <c r="H35" s="11">
        <v>3258418</v>
      </c>
      <c r="I35" s="11">
        <v>828538</v>
      </c>
      <c r="J35" s="11">
        <v>815679</v>
      </c>
      <c r="K35" s="11">
        <v>107486</v>
      </c>
      <c r="L35" s="11"/>
      <c r="M35" s="11">
        <v>407900</v>
      </c>
      <c r="N35" s="11"/>
      <c r="O35" s="11"/>
      <c r="P35" s="11"/>
      <c r="Q35" s="11"/>
      <c r="R35" s="11"/>
      <c r="S35" s="11">
        <v>939600</v>
      </c>
      <c r="T35" s="95"/>
      <c r="U35" s="11">
        <v>944000</v>
      </c>
      <c r="V35" s="11"/>
      <c r="W35" s="11"/>
      <c r="X35" s="11"/>
      <c r="Y35" s="95"/>
      <c r="Z35" s="11"/>
      <c r="AA35" s="11"/>
      <c r="AB35" s="95"/>
      <c r="AC35" s="11"/>
      <c r="AD35" s="95"/>
      <c r="AE35" s="11"/>
      <c r="AF35" s="11"/>
      <c r="AG35" s="11"/>
      <c r="AH35" s="11"/>
    </row>
    <row r="36" spans="1:34" ht="36.75" customHeight="1">
      <c r="A36" s="95">
        <v>31</v>
      </c>
      <c r="B36" s="110" t="s">
        <v>337</v>
      </c>
      <c r="C36" s="93" t="s">
        <v>151</v>
      </c>
      <c r="D36" s="11"/>
      <c r="E36" s="11">
        <f t="shared" si="3"/>
        <v>32494927</v>
      </c>
      <c r="F36" s="11">
        <v>22389529</v>
      </c>
      <c r="G36" s="11"/>
      <c r="H36" s="11"/>
      <c r="I36" s="11">
        <v>2897625</v>
      </c>
      <c r="J36" s="11">
        <v>7207773</v>
      </c>
      <c r="K36" s="11"/>
      <c r="L36" s="11"/>
      <c r="M36" s="11"/>
      <c r="N36" s="11"/>
      <c r="O36" s="11"/>
      <c r="P36" s="11"/>
      <c r="Q36" s="11"/>
      <c r="R36" s="11"/>
      <c r="S36" s="11"/>
      <c r="T36" s="95"/>
      <c r="U36" s="11"/>
      <c r="V36" s="11"/>
      <c r="W36" s="11"/>
      <c r="X36" s="11"/>
      <c r="Y36" s="95"/>
      <c r="Z36" s="11"/>
      <c r="AA36" s="11"/>
      <c r="AB36" s="95"/>
      <c r="AC36" s="11"/>
      <c r="AD36" s="95"/>
      <c r="AE36" s="11"/>
      <c r="AF36" s="11"/>
      <c r="AG36" s="11"/>
      <c r="AH36" s="11"/>
    </row>
    <row r="37" spans="1:34" ht="27" customHeight="1">
      <c r="A37" s="95">
        <v>32</v>
      </c>
      <c r="B37" s="110" t="s">
        <v>338</v>
      </c>
      <c r="C37" s="93" t="s">
        <v>155</v>
      </c>
      <c r="D37" s="11"/>
      <c r="E37" s="11">
        <f t="shared" si="3"/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95"/>
      <c r="U37" s="11"/>
      <c r="V37" s="11"/>
      <c r="W37" s="11"/>
      <c r="X37" s="11"/>
      <c r="Y37" s="95"/>
      <c r="Z37" s="11"/>
      <c r="AA37" s="11"/>
      <c r="AB37" s="95"/>
      <c r="AC37" s="11"/>
      <c r="AD37" s="95"/>
      <c r="AE37" s="11"/>
      <c r="AF37" s="11"/>
      <c r="AG37" s="11"/>
      <c r="AH37" s="11"/>
    </row>
    <row r="38" spans="1:34" ht="27" customHeight="1">
      <c r="A38" s="95">
        <v>33</v>
      </c>
      <c r="B38" s="110" t="s">
        <v>348</v>
      </c>
      <c r="C38" s="93" t="s">
        <v>147</v>
      </c>
      <c r="D38" s="11"/>
      <c r="E38" s="11">
        <f t="shared" si="3"/>
        <v>10193564</v>
      </c>
      <c r="F38" s="11">
        <v>6502097</v>
      </c>
      <c r="G38" s="11"/>
      <c r="H38" s="11"/>
      <c r="I38" s="11">
        <v>2771907</v>
      </c>
      <c r="J38" s="11"/>
      <c r="K38" s="11"/>
      <c r="L38" s="11"/>
      <c r="M38" s="11">
        <v>919560</v>
      </c>
      <c r="N38" s="11"/>
      <c r="O38" s="11"/>
      <c r="P38" s="11"/>
      <c r="Q38" s="11"/>
      <c r="R38" s="11"/>
      <c r="S38" s="11"/>
      <c r="T38" s="95"/>
      <c r="U38" s="11"/>
      <c r="V38" s="11"/>
      <c r="W38" s="11"/>
      <c r="X38" s="11"/>
      <c r="Y38" s="95"/>
      <c r="Z38" s="11"/>
      <c r="AA38" s="11"/>
      <c r="AB38" s="95"/>
      <c r="AC38" s="11"/>
      <c r="AD38" s="95"/>
      <c r="AE38" s="11"/>
      <c r="AF38" s="11"/>
      <c r="AG38" s="11"/>
      <c r="AH38" s="11"/>
    </row>
    <row r="39" spans="1:34" ht="27" customHeight="1">
      <c r="A39" s="95">
        <v>34</v>
      </c>
      <c r="B39" s="110" t="s">
        <v>339</v>
      </c>
      <c r="C39" s="93" t="s">
        <v>156</v>
      </c>
      <c r="D39" s="11"/>
      <c r="E39" s="11">
        <f t="shared" si="3"/>
        <v>13867288</v>
      </c>
      <c r="F39" s="11">
        <v>13367288</v>
      </c>
      <c r="G39" s="11"/>
      <c r="H39" s="11"/>
      <c r="I39" s="11"/>
      <c r="J39" s="11">
        <v>500000</v>
      </c>
      <c r="K39" s="11"/>
      <c r="L39" s="11"/>
      <c r="M39" s="11"/>
      <c r="N39" s="11"/>
      <c r="O39" s="11"/>
      <c r="P39" s="11"/>
      <c r="Q39" s="11"/>
      <c r="R39" s="11"/>
      <c r="S39" s="11"/>
      <c r="T39" s="95"/>
      <c r="U39" s="11"/>
      <c r="V39" s="11"/>
      <c r="W39" s="11"/>
      <c r="X39" s="11"/>
      <c r="Y39" s="95"/>
      <c r="Z39" s="11"/>
      <c r="AA39" s="11"/>
      <c r="AB39" s="95"/>
      <c r="AC39" s="11"/>
      <c r="AD39" s="95"/>
      <c r="AE39" s="11"/>
      <c r="AF39" s="11"/>
      <c r="AG39" s="11"/>
      <c r="AH39" s="11"/>
    </row>
    <row r="40" spans="1:34" ht="27" customHeight="1">
      <c r="A40" s="95">
        <v>35</v>
      </c>
      <c r="B40" s="110" t="s">
        <v>340</v>
      </c>
      <c r="C40" s="93" t="s">
        <v>150</v>
      </c>
      <c r="D40" s="11"/>
      <c r="E40" s="11">
        <f t="shared" si="3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95"/>
      <c r="U40" s="11"/>
      <c r="V40" s="11"/>
      <c r="W40" s="11"/>
      <c r="X40" s="11"/>
      <c r="Y40" s="95"/>
      <c r="Z40" s="11"/>
      <c r="AA40" s="11"/>
      <c r="AB40" s="95"/>
      <c r="AC40" s="11"/>
      <c r="AD40" s="95"/>
      <c r="AE40" s="11"/>
      <c r="AF40" s="11"/>
      <c r="AG40" s="11"/>
      <c r="AH40" s="11"/>
    </row>
    <row r="41" spans="1:34" ht="36.75" customHeight="1">
      <c r="A41" s="95">
        <v>36</v>
      </c>
      <c r="B41" s="110" t="s">
        <v>342</v>
      </c>
      <c r="C41" s="93" t="s">
        <v>152</v>
      </c>
      <c r="D41" s="11"/>
      <c r="E41" s="11">
        <f t="shared" si="3"/>
        <v>5036131</v>
      </c>
      <c r="F41" s="11"/>
      <c r="G41" s="11"/>
      <c r="H41" s="11"/>
      <c r="I41" s="11">
        <v>5036131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95"/>
      <c r="U41" s="11"/>
      <c r="V41" s="11"/>
      <c r="W41" s="11"/>
      <c r="X41" s="11"/>
      <c r="Y41" s="95"/>
      <c r="Z41" s="11"/>
      <c r="AA41" s="11"/>
      <c r="AB41" s="95"/>
      <c r="AC41" s="11"/>
      <c r="AD41" s="95"/>
      <c r="AE41" s="11"/>
      <c r="AF41" s="11"/>
      <c r="AG41" s="11"/>
      <c r="AH41" s="11"/>
    </row>
    <row r="42" spans="1:34" ht="27" customHeight="1">
      <c r="A42" s="95">
        <v>37</v>
      </c>
      <c r="B42" s="110" t="s">
        <v>341</v>
      </c>
      <c r="C42" s="93" t="s">
        <v>159</v>
      </c>
      <c r="D42" s="11"/>
      <c r="E42" s="11">
        <f t="shared" si="3"/>
        <v>17817552</v>
      </c>
      <c r="F42" s="11">
        <v>17817552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95"/>
      <c r="U42" s="11"/>
      <c r="V42" s="11"/>
      <c r="W42" s="11"/>
      <c r="X42" s="11"/>
      <c r="Y42" s="95"/>
      <c r="Z42" s="11"/>
      <c r="AA42" s="11"/>
      <c r="AB42" s="95"/>
      <c r="AC42" s="11"/>
      <c r="AD42" s="95"/>
      <c r="AE42" s="11"/>
      <c r="AF42" s="11"/>
      <c r="AG42" s="11"/>
      <c r="AH42" s="11"/>
    </row>
    <row r="43" spans="1:34" ht="36.75" customHeight="1">
      <c r="A43" s="95">
        <v>38</v>
      </c>
      <c r="B43" s="110" t="s">
        <v>343</v>
      </c>
      <c r="C43" s="93" t="s">
        <v>153</v>
      </c>
      <c r="D43" s="11"/>
      <c r="E43" s="11">
        <f t="shared" si="3"/>
        <v>27761727</v>
      </c>
      <c r="F43" s="11">
        <v>26497227</v>
      </c>
      <c r="G43" s="11"/>
      <c r="H43" s="11"/>
      <c r="I43" s="11"/>
      <c r="J43" s="11">
        <v>1264500</v>
      </c>
      <c r="K43" s="11"/>
      <c r="L43" s="11"/>
      <c r="M43" s="11"/>
      <c r="N43" s="11"/>
      <c r="O43" s="11"/>
      <c r="P43" s="11"/>
      <c r="Q43" s="11"/>
      <c r="R43" s="11"/>
      <c r="S43" s="11"/>
      <c r="T43" s="95"/>
      <c r="U43" s="11"/>
      <c r="V43" s="11"/>
      <c r="W43" s="11"/>
      <c r="X43" s="11"/>
      <c r="Y43" s="95"/>
      <c r="Z43" s="11"/>
      <c r="AA43" s="11"/>
      <c r="AB43" s="95"/>
      <c r="AC43" s="11"/>
      <c r="AD43" s="95"/>
      <c r="AE43" s="11"/>
      <c r="AF43" s="11"/>
      <c r="AG43" s="11"/>
      <c r="AH43" s="11"/>
    </row>
    <row r="44" spans="1:34" ht="27" customHeight="1">
      <c r="A44" s="95">
        <v>39</v>
      </c>
      <c r="B44" s="110" t="s">
        <v>344</v>
      </c>
      <c r="C44" s="93" t="s">
        <v>148</v>
      </c>
      <c r="D44" s="11"/>
      <c r="E44" s="11">
        <f t="shared" si="3"/>
        <v>14580456</v>
      </c>
      <c r="F44" s="11">
        <v>13809955</v>
      </c>
      <c r="G44" s="11"/>
      <c r="H44" s="11">
        <v>770501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95"/>
      <c r="U44" s="11"/>
      <c r="V44" s="11"/>
      <c r="W44" s="11"/>
      <c r="X44" s="11"/>
      <c r="Y44" s="95"/>
      <c r="Z44" s="11"/>
      <c r="AA44" s="11"/>
      <c r="AB44" s="95"/>
      <c r="AC44" s="11"/>
      <c r="AD44" s="95"/>
      <c r="AE44" s="11"/>
      <c r="AF44" s="11"/>
      <c r="AG44" s="11"/>
      <c r="AH44" s="11"/>
    </row>
    <row r="45" spans="1:34" ht="27" customHeight="1">
      <c r="A45" s="95">
        <v>40</v>
      </c>
      <c r="B45" s="110" t="s">
        <v>345</v>
      </c>
      <c r="C45" s="62" t="s">
        <v>163</v>
      </c>
      <c r="D45" s="111"/>
      <c r="E45" s="11">
        <f t="shared" si="3"/>
        <v>16673078</v>
      </c>
      <c r="F45" s="82">
        <v>7803873</v>
      </c>
      <c r="G45" s="82"/>
      <c r="H45" s="82"/>
      <c r="I45" s="82"/>
      <c r="J45" s="82"/>
      <c r="K45" s="82"/>
      <c r="L45" s="82">
        <v>7760845</v>
      </c>
      <c r="M45" s="82"/>
      <c r="N45" s="82"/>
      <c r="O45" s="82">
        <v>136660</v>
      </c>
      <c r="P45" s="82"/>
      <c r="Q45" s="82"/>
      <c r="R45" s="82"/>
      <c r="S45" s="82">
        <v>669600</v>
      </c>
      <c r="T45" s="95"/>
      <c r="U45" s="82">
        <v>110100</v>
      </c>
      <c r="V45" s="82">
        <v>192000</v>
      </c>
      <c r="W45" s="82"/>
      <c r="X45" s="82"/>
      <c r="Y45" s="95"/>
      <c r="Z45" s="82"/>
      <c r="AA45" s="82"/>
      <c r="AB45" s="95"/>
      <c r="AC45" s="82"/>
      <c r="AD45" s="95"/>
      <c r="AE45" s="82"/>
      <c r="AF45" s="82"/>
      <c r="AG45" s="82"/>
      <c r="AH45" s="82"/>
    </row>
    <row r="46" spans="1:34" ht="27" customHeight="1">
      <c r="A46" s="95">
        <v>41</v>
      </c>
      <c r="B46" s="110" t="s">
        <v>346</v>
      </c>
      <c r="C46" s="62" t="s">
        <v>164</v>
      </c>
      <c r="D46" s="111"/>
      <c r="E46" s="11">
        <f t="shared" si="3"/>
        <v>6530750.7000000002</v>
      </c>
      <c r="F46" s="112"/>
      <c r="G46" s="112"/>
      <c r="H46" s="112"/>
      <c r="I46" s="112"/>
      <c r="J46" s="112">
        <v>5594750.7000000002</v>
      </c>
      <c r="K46" s="112"/>
      <c r="L46" s="112"/>
      <c r="M46" s="112"/>
      <c r="N46" s="112"/>
      <c r="O46" s="112"/>
      <c r="P46" s="112"/>
      <c r="Q46" s="112"/>
      <c r="R46" s="112"/>
      <c r="S46" s="112"/>
      <c r="T46" s="95"/>
      <c r="U46" s="112"/>
      <c r="V46" s="112"/>
      <c r="W46" s="112"/>
      <c r="X46" s="112">
        <v>936000</v>
      </c>
      <c r="Y46" s="95"/>
      <c r="Z46" s="112"/>
      <c r="AA46" s="112"/>
      <c r="AB46" s="95"/>
      <c r="AC46" s="112"/>
      <c r="AD46" s="95"/>
      <c r="AE46" s="112"/>
      <c r="AF46" s="112"/>
      <c r="AG46" s="112"/>
      <c r="AH46" s="112"/>
    </row>
    <row r="47" spans="1:34" ht="27" customHeight="1">
      <c r="A47" s="95">
        <v>42</v>
      </c>
      <c r="B47" s="110" t="s">
        <v>347</v>
      </c>
      <c r="C47" s="62" t="s">
        <v>162</v>
      </c>
      <c r="D47" s="111"/>
      <c r="E47" s="11">
        <f t="shared" si="3"/>
        <v>268950</v>
      </c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95"/>
      <c r="U47" s="82"/>
      <c r="V47" s="82"/>
      <c r="W47" s="82"/>
      <c r="X47" s="82">
        <v>268950</v>
      </c>
      <c r="Y47" s="95"/>
      <c r="Z47" s="82"/>
      <c r="AA47" s="82"/>
      <c r="AB47" s="95"/>
      <c r="AC47" s="82"/>
      <c r="AD47" s="95"/>
      <c r="AE47" s="82"/>
      <c r="AF47" s="82"/>
      <c r="AG47" s="82"/>
      <c r="AH47" s="82"/>
    </row>
    <row r="48" spans="1:34" ht="27" customHeight="1">
      <c r="A48" s="95">
        <v>43</v>
      </c>
      <c r="B48" s="110" t="s">
        <v>349</v>
      </c>
      <c r="C48" s="103" t="s">
        <v>271</v>
      </c>
      <c r="D48" s="82"/>
      <c r="E48" s="11">
        <f t="shared" si="2"/>
        <v>382127232</v>
      </c>
      <c r="F48" s="82">
        <f>253043107+4218455+112000</f>
        <v>257373562</v>
      </c>
      <c r="G48" s="82"/>
      <c r="H48" s="82">
        <v>115426120</v>
      </c>
      <c r="I48" s="82">
        <v>3201194</v>
      </c>
      <c r="J48" s="82"/>
      <c r="K48" s="82">
        <v>1679211</v>
      </c>
      <c r="L48" s="82"/>
      <c r="M48" s="82">
        <v>29550</v>
      </c>
      <c r="N48" s="82"/>
      <c r="O48" s="82">
        <v>684467</v>
      </c>
      <c r="P48" s="82"/>
      <c r="Q48" s="82"/>
      <c r="R48" s="82"/>
      <c r="S48" s="82"/>
      <c r="T48" s="82"/>
      <c r="U48" s="82"/>
      <c r="V48" s="82"/>
      <c r="W48" s="82"/>
      <c r="X48" s="82">
        <f>1866564+1866564</f>
        <v>3733128</v>
      </c>
      <c r="Y48" s="82"/>
      <c r="Z48" s="82"/>
      <c r="AA48" s="82"/>
      <c r="AB48" s="82"/>
      <c r="AC48" s="82"/>
      <c r="AD48" s="82"/>
      <c r="AE48" s="82"/>
      <c r="AF48" s="82"/>
      <c r="AG48" s="82"/>
      <c r="AH48" s="82"/>
    </row>
    <row r="49" spans="1:34" ht="27" customHeight="1">
      <c r="A49" s="95">
        <v>44</v>
      </c>
      <c r="B49" s="110" t="s">
        <v>350</v>
      </c>
      <c r="C49" s="103" t="s">
        <v>284</v>
      </c>
      <c r="D49" s="82"/>
      <c r="E49" s="11">
        <f t="shared" si="2"/>
        <v>817985</v>
      </c>
      <c r="F49" s="82">
        <v>817985</v>
      </c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</row>
    <row r="50" spans="1:34" ht="27" customHeight="1">
      <c r="A50" s="95">
        <v>45</v>
      </c>
      <c r="B50" s="110" t="s">
        <v>366</v>
      </c>
      <c r="C50" s="103" t="s">
        <v>302</v>
      </c>
      <c r="D50" s="82"/>
      <c r="E50" s="11">
        <f t="shared" ref="E50:E58" si="4">SUM(F50:AH50)</f>
        <v>8909210</v>
      </c>
      <c r="F50" s="82">
        <v>7759136</v>
      </c>
      <c r="G50" s="82"/>
      <c r="H50" s="82">
        <v>1150074</v>
      </c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</row>
    <row r="51" spans="1:34" ht="27" customHeight="1">
      <c r="A51" s="95">
        <v>46</v>
      </c>
      <c r="B51" s="110" t="s">
        <v>351</v>
      </c>
      <c r="C51" s="103" t="s">
        <v>286</v>
      </c>
      <c r="D51" s="82"/>
      <c r="E51" s="11">
        <f t="shared" si="4"/>
        <v>19036000</v>
      </c>
      <c r="F51" s="82">
        <v>19036000</v>
      </c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</row>
    <row r="52" spans="1:34" ht="27" customHeight="1">
      <c r="A52" s="95">
        <v>47</v>
      </c>
      <c r="B52" s="110" t="s">
        <v>352</v>
      </c>
      <c r="C52" s="103" t="s">
        <v>166</v>
      </c>
      <c r="D52" s="82"/>
      <c r="E52" s="11">
        <f t="shared" si="4"/>
        <v>285096311</v>
      </c>
      <c r="F52" s="82">
        <v>269360772</v>
      </c>
      <c r="G52" s="82"/>
      <c r="H52" s="82">
        <v>15735539</v>
      </c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</row>
    <row r="53" spans="1:34" ht="27" customHeight="1">
      <c r="A53" s="95">
        <v>48</v>
      </c>
      <c r="B53" s="110" t="s">
        <v>365</v>
      </c>
      <c r="C53" s="103" t="s">
        <v>293</v>
      </c>
      <c r="D53" s="82"/>
      <c r="E53" s="11">
        <f t="shared" si="4"/>
        <v>12116407</v>
      </c>
      <c r="F53" s="82">
        <v>12116407</v>
      </c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</row>
    <row r="54" spans="1:34" ht="27" customHeight="1">
      <c r="A54" s="95">
        <v>49</v>
      </c>
      <c r="B54" s="110" t="s">
        <v>353</v>
      </c>
      <c r="C54" s="103" t="s">
        <v>287</v>
      </c>
      <c r="D54" s="82"/>
      <c r="E54" s="11">
        <f t="shared" si="4"/>
        <v>11287076</v>
      </c>
      <c r="F54" s="82">
        <v>9675469</v>
      </c>
      <c r="G54" s="82"/>
      <c r="H54" s="82">
        <v>1251607</v>
      </c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>
        <v>360000</v>
      </c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</row>
    <row r="55" spans="1:34" ht="27" customHeight="1">
      <c r="A55" s="95">
        <v>50</v>
      </c>
      <c r="B55" s="110" t="s">
        <v>354</v>
      </c>
      <c r="C55" s="103" t="s">
        <v>167</v>
      </c>
      <c r="D55" s="82"/>
      <c r="E55" s="11">
        <f t="shared" si="4"/>
        <v>33707578</v>
      </c>
      <c r="F55" s="82">
        <v>31901901</v>
      </c>
      <c r="G55" s="82"/>
      <c r="H55" s="82">
        <v>334707</v>
      </c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>
        <v>1470970</v>
      </c>
      <c r="AC55" s="82"/>
      <c r="AD55" s="82"/>
      <c r="AE55" s="82"/>
      <c r="AF55" s="82"/>
      <c r="AG55" s="82"/>
      <c r="AH55" s="82"/>
    </row>
    <row r="56" spans="1:34" ht="27" customHeight="1">
      <c r="A56" s="95">
        <v>51</v>
      </c>
      <c r="B56" s="110" t="s">
        <v>355</v>
      </c>
      <c r="C56" s="103" t="s">
        <v>168</v>
      </c>
      <c r="D56" s="82"/>
      <c r="E56" s="11">
        <f t="shared" si="4"/>
        <v>40153857</v>
      </c>
      <c r="F56" s="82">
        <v>27303457</v>
      </c>
      <c r="G56" s="82"/>
      <c r="H56" s="82"/>
      <c r="I56" s="82"/>
      <c r="J56" s="82"/>
      <c r="K56" s="82"/>
      <c r="L56" s="82">
        <v>12850400</v>
      </c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</row>
    <row r="57" spans="1:34" ht="27" customHeight="1">
      <c r="A57" s="95">
        <v>52</v>
      </c>
      <c r="B57" s="110" t="s">
        <v>356</v>
      </c>
      <c r="C57" s="103" t="s">
        <v>165</v>
      </c>
      <c r="D57" s="82"/>
      <c r="E57" s="11">
        <f t="shared" si="4"/>
        <v>833788</v>
      </c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>
        <v>833788</v>
      </c>
      <c r="Y57" s="82"/>
      <c r="Z57" s="82"/>
      <c r="AA57" s="82"/>
      <c r="AB57" s="82"/>
      <c r="AC57" s="82"/>
      <c r="AD57" s="82"/>
      <c r="AE57" s="82"/>
      <c r="AF57" s="82"/>
      <c r="AG57" s="82"/>
      <c r="AH57" s="82"/>
    </row>
    <row r="58" spans="1:34" ht="27" customHeight="1">
      <c r="A58" s="95">
        <v>53</v>
      </c>
      <c r="B58" s="110" t="s">
        <v>357</v>
      </c>
      <c r="C58" s="103" t="s">
        <v>249</v>
      </c>
      <c r="D58" s="82"/>
      <c r="E58" s="11">
        <f t="shared" si="4"/>
        <v>9725334</v>
      </c>
      <c r="F58" s="82">
        <v>5045277</v>
      </c>
      <c r="G58" s="82"/>
      <c r="H58" s="82">
        <v>180057</v>
      </c>
      <c r="I58" s="82"/>
      <c r="J58" s="82"/>
      <c r="K58" s="82"/>
      <c r="L58" s="82"/>
      <c r="M58" s="82">
        <v>4500000</v>
      </c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</row>
    <row r="59" spans="1:34" ht="27" customHeight="1">
      <c r="A59" s="95">
        <v>54</v>
      </c>
      <c r="B59" s="110" t="s">
        <v>358</v>
      </c>
      <c r="C59" s="103" t="s">
        <v>169</v>
      </c>
      <c r="D59" s="82"/>
      <c r="E59" s="11">
        <f t="shared" si="2"/>
        <v>102690748</v>
      </c>
      <c r="F59" s="82">
        <v>102690748</v>
      </c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</row>
    <row r="60" spans="1:34" ht="27" customHeight="1">
      <c r="A60" s="95">
        <v>55</v>
      </c>
      <c r="B60" s="110" t="s">
        <v>359</v>
      </c>
      <c r="C60" s="103" t="s">
        <v>170</v>
      </c>
      <c r="D60" s="82"/>
      <c r="E60" s="11">
        <f t="shared" si="2"/>
        <v>0</v>
      </c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</row>
    <row r="61" spans="1:34" ht="27" customHeight="1">
      <c r="A61" s="95">
        <v>56</v>
      </c>
      <c r="B61" s="110" t="s">
        <v>360</v>
      </c>
      <c r="C61" s="103" t="s">
        <v>171</v>
      </c>
      <c r="D61" s="82"/>
      <c r="E61" s="11">
        <f t="shared" si="2"/>
        <v>1606210872</v>
      </c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>
        <v>7700000</v>
      </c>
      <c r="Q61" s="82"/>
      <c r="R61" s="82">
        <v>750000</v>
      </c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>
        <v>1535891812</v>
      </c>
      <c r="AG61" s="82">
        <v>61869060</v>
      </c>
      <c r="AH61" s="82"/>
    </row>
    <row r="62" spans="1:34" ht="27" customHeight="1">
      <c r="A62" s="95">
        <v>57</v>
      </c>
      <c r="B62" s="110" t="s">
        <v>361</v>
      </c>
      <c r="C62" s="103" t="s">
        <v>172</v>
      </c>
      <c r="D62" s="82"/>
      <c r="E62" s="11">
        <f t="shared" si="2"/>
        <v>21298655</v>
      </c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>
        <v>4739960</v>
      </c>
      <c r="R62" s="82"/>
      <c r="S62" s="82">
        <v>16558695</v>
      </c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</row>
    <row r="63" spans="1:34" ht="27" customHeight="1">
      <c r="A63" s="95">
        <v>58</v>
      </c>
      <c r="B63" s="110" t="s">
        <v>362</v>
      </c>
      <c r="C63" s="103" t="s">
        <v>29</v>
      </c>
      <c r="D63" s="82"/>
      <c r="E63" s="11">
        <f t="shared" si="2"/>
        <v>17145393</v>
      </c>
      <c r="F63" s="82">
        <v>17145393</v>
      </c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</row>
    <row r="64" spans="1:34" ht="27" customHeight="1">
      <c r="A64" s="95">
        <v>59</v>
      </c>
      <c r="B64" s="110" t="s">
        <v>363</v>
      </c>
      <c r="C64" s="103" t="s">
        <v>30</v>
      </c>
      <c r="D64" s="82"/>
      <c r="E64" s="11">
        <f t="shared" si="2"/>
        <v>0</v>
      </c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</row>
    <row r="65" spans="1:34" ht="27" customHeight="1">
      <c r="A65" s="95">
        <v>60</v>
      </c>
      <c r="B65" s="110" t="s">
        <v>364</v>
      </c>
      <c r="C65" s="103" t="s">
        <v>285</v>
      </c>
      <c r="D65" s="83"/>
      <c r="E65" s="11">
        <f>SUM(F65:AH65)</f>
        <v>0</v>
      </c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</row>
    <row r="68" spans="1:34" ht="18">
      <c r="A68" s="123" t="s">
        <v>25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</row>
  </sheetData>
  <mergeCells count="2">
    <mergeCell ref="C1:AH1"/>
    <mergeCell ref="A68:AH68"/>
  </mergeCells>
  <pageMargins left="0.17" right="0.17" top="0.93" bottom="0.51" header="0.31496062992125984" footer="0.47"/>
  <pageSetup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F45" sqref="F45"/>
    </sheetView>
  </sheetViews>
  <sheetFormatPr defaultColWidth="9.140625" defaultRowHeight="12.75"/>
  <cols>
    <col min="1" max="1" width="9.140625" style="7"/>
    <col min="2" max="2" width="31.28515625" style="7" customWidth="1"/>
    <col min="3" max="3" width="14.28515625" style="42" bestFit="1" customWidth="1"/>
    <col min="4" max="4" width="14.5703125" style="42" customWidth="1"/>
    <col min="5" max="5" width="15.140625" style="42" customWidth="1"/>
    <col min="6" max="6" width="14.28515625" style="42" bestFit="1" customWidth="1"/>
    <col min="7" max="7" width="18.7109375" style="42" bestFit="1" customWidth="1"/>
    <col min="8" max="8" width="14.140625" style="42" customWidth="1"/>
    <col min="9" max="9" width="11.7109375" style="7" customWidth="1"/>
    <col min="10" max="16384" width="9.140625" style="7"/>
  </cols>
  <sheetData>
    <row r="1" spans="1:9" ht="17.25">
      <c r="B1" s="124" t="s">
        <v>368</v>
      </c>
      <c r="C1" s="124"/>
      <c r="D1" s="124"/>
      <c r="E1" s="124"/>
      <c r="F1" s="124"/>
      <c r="G1" s="124"/>
      <c r="H1" s="124"/>
      <c r="I1" s="124"/>
    </row>
    <row r="2" spans="1:9">
      <c r="B2" s="19"/>
      <c r="C2" s="34"/>
      <c r="D2" s="34"/>
      <c r="E2" s="34"/>
      <c r="F2" s="34"/>
      <c r="G2" s="34"/>
      <c r="H2" s="34"/>
      <c r="I2" s="19"/>
    </row>
    <row r="3" spans="1:9" ht="42.75" customHeight="1">
      <c r="A3" s="125" t="s">
        <v>257</v>
      </c>
      <c r="B3" s="125"/>
      <c r="C3" s="126" t="s">
        <v>369</v>
      </c>
      <c r="D3" s="126" t="s">
        <v>258</v>
      </c>
      <c r="E3" s="126" t="s">
        <v>259</v>
      </c>
      <c r="F3" s="128" t="s">
        <v>370</v>
      </c>
      <c r="G3" s="129"/>
      <c r="H3" s="129"/>
      <c r="I3" s="130"/>
    </row>
    <row r="4" spans="1:9" ht="48" customHeight="1">
      <c r="A4" s="12" t="s">
        <v>46</v>
      </c>
      <c r="B4" s="29" t="s">
        <v>47</v>
      </c>
      <c r="C4" s="127"/>
      <c r="D4" s="127"/>
      <c r="E4" s="127"/>
      <c r="F4" s="35" t="s">
        <v>48</v>
      </c>
      <c r="G4" s="35" t="s">
        <v>49</v>
      </c>
      <c r="H4" s="35" t="s">
        <v>50</v>
      </c>
      <c r="I4" s="12" t="s">
        <v>51</v>
      </c>
    </row>
    <row r="5" spans="1:9">
      <c r="A5" s="12"/>
      <c r="B5" s="22"/>
      <c r="C5" s="36" t="s">
        <v>52</v>
      </c>
      <c r="D5" s="36" t="s">
        <v>53</v>
      </c>
      <c r="E5" s="36" t="s">
        <v>54</v>
      </c>
      <c r="F5" s="36" t="s">
        <v>55</v>
      </c>
      <c r="G5" s="36" t="s">
        <v>56</v>
      </c>
      <c r="H5" s="36" t="s">
        <v>57</v>
      </c>
      <c r="I5" s="23" t="s">
        <v>58</v>
      </c>
    </row>
    <row r="6" spans="1:9" s="25" customFormat="1">
      <c r="A6" s="24"/>
      <c r="B6" s="20" t="s">
        <v>59</v>
      </c>
      <c r="C6" s="37">
        <v>27870000</v>
      </c>
      <c r="D6" s="37">
        <f>+C6-F6</f>
        <v>27870000</v>
      </c>
      <c r="E6" s="37"/>
      <c r="F6" s="37">
        <f>+'өр ав'!D5</f>
        <v>0</v>
      </c>
      <c r="G6" s="37">
        <v>0</v>
      </c>
      <c r="H6" s="37">
        <v>0</v>
      </c>
      <c r="I6" s="14">
        <v>0</v>
      </c>
    </row>
    <row r="7" spans="1:9" s="25" customFormat="1">
      <c r="A7" s="24"/>
      <c r="B7" s="20" t="s">
        <v>60</v>
      </c>
      <c r="C7" s="37">
        <v>2790210842.0100002</v>
      </c>
      <c r="D7" s="37">
        <f t="shared" ref="D7:E7" si="0">SUM(D8:D55)</f>
        <v>1589656397.01</v>
      </c>
      <c r="E7" s="37">
        <f t="shared" si="0"/>
        <v>2152160849.5500002</v>
      </c>
      <c r="F7" s="37">
        <f>SUM(F8:F55)</f>
        <v>3352715294.5500002</v>
      </c>
      <c r="G7" s="37">
        <f t="shared" ref="G7:I7" si="1">SUM(G8:G55)</f>
        <v>3352715294.5500002</v>
      </c>
      <c r="H7" s="37">
        <f t="shared" si="1"/>
        <v>0</v>
      </c>
      <c r="I7" s="14">
        <f t="shared" si="1"/>
        <v>0</v>
      </c>
    </row>
    <row r="8" spans="1:9">
      <c r="A8" s="26"/>
      <c r="B8" s="21" t="s">
        <v>61</v>
      </c>
      <c r="C8" s="37"/>
      <c r="D8" s="36"/>
      <c r="E8" s="36"/>
      <c r="F8" s="37"/>
      <c r="G8" s="36"/>
      <c r="H8" s="36"/>
      <c r="I8" s="13"/>
    </row>
    <row r="9" spans="1:9">
      <c r="A9" s="27">
        <v>210101</v>
      </c>
      <c r="B9" s="28" t="s">
        <v>62</v>
      </c>
      <c r="C9" s="36">
        <v>861025915.13</v>
      </c>
      <c r="D9" s="36">
        <f>+C9</f>
        <v>861025915.13</v>
      </c>
      <c r="E9" s="36">
        <f>+F9</f>
        <v>1365901794</v>
      </c>
      <c r="F9" s="36">
        <f>+'өр ав'!F5</f>
        <v>1365901794</v>
      </c>
      <c r="G9" s="36">
        <f>+F9</f>
        <v>1365901794</v>
      </c>
      <c r="H9" s="36"/>
      <c r="I9" s="13"/>
    </row>
    <row r="10" spans="1:9">
      <c r="A10" s="27" t="s">
        <v>63</v>
      </c>
      <c r="B10" s="28" t="s">
        <v>64</v>
      </c>
      <c r="C10" s="36"/>
      <c r="D10" s="36">
        <f t="shared" ref="D10:D55" si="2">+C10</f>
        <v>0</v>
      </c>
      <c r="E10" s="36">
        <f t="shared" ref="E10:E55" si="3">+F10</f>
        <v>0</v>
      </c>
      <c r="F10" s="36"/>
      <c r="G10" s="36">
        <f t="shared" ref="G10:G55" si="4">+F10</f>
        <v>0</v>
      </c>
      <c r="H10" s="36"/>
      <c r="I10" s="13"/>
    </row>
    <row r="11" spans="1:9">
      <c r="A11" s="27" t="s">
        <v>65</v>
      </c>
      <c r="B11" s="28" t="s">
        <v>66</v>
      </c>
      <c r="C11" s="36"/>
      <c r="D11" s="36">
        <f t="shared" si="2"/>
        <v>0</v>
      </c>
      <c r="E11" s="36">
        <f t="shared" si="3"/>
        <v>0</v>
      </c>
      <c r="F11" s="36"/>
      <c r="G11" s="36">
        <f t="shared" si="4"/>
        <v>0</v>
      </c>
      <c r="H11" s="36"/>
      <c r="I11" s="13"/>
    </row>
    <row r="12" spans="1:9">
      <c r="A12" s="27" t="s">
        <v>67</v>
      </c>
      <c r="B12" s="28" t="s">
        <v>68</v>
      </c>
      <c r="C12" s="36"/>
      <c r="D12" s="36">
        <f t="shared" si="2"/>
        <v>0</v>
      </c>
      <c r="E12" s="36">
        <f t="shared" si="3"/>
        <v>0</v>
      </c>
      <c r="F12" s="36"/>
      <c r="G12" s="36">
        <f t="shared" si="4"/>
        <v>0</v>
      </c>
      <c r="H12" s="36"/>
      <c r="I12" s="13"/>
    </row>
    <row r="13" spans="1:9">
      <c r="A13" s="27" t="s">
        <v>69</v>
      </c>
      <c r="B13" s="28" t="s">
        <v>40</v>
      </c>
      <c r="C13" s="36">
        <v>0</v>
      </c>
      <c r="D13" s="36">
        <f t="shared" si="2"/>
        <v>0</v>
      </c>
      <c r="E13" s="36">
        <f t="shared" si="3"/>
        <v>0</v>
      </c>
      <c r="F13" s="36">
        <f>+'өр ав'!G5</f>
        <v>0</v>
      </c>
      <c r="G13" s="36">
        <f t="shared" si="4"/>
        <v>0</v>
      </c>
      <c r="H13" s="36"/>
      <c r="I13" s="13"/>
    </row>
    <row r="14" spans="1:9">
      <c r="A14" s="29">
        <v>210201</v>
      </c>
      <c r="B14" s="21" t="s">
        <v>70</v>
      </c>
      <c r="C14" s="36">
        <v>177579030.18000001</v>
      </c>
      <c r="D14" s="36">
        <f t="shared" si="2"/>
        <v>177579030.18000001</v>
      </c>
      <c r="E14" s="36">
        <f t="shared" si="3"/>
        <v>151472177</v>
      </c>
      <c r="F14" s="36">
        <f>+'өр ав'!H5</f>
        <v>151472177</v>
      </c>
      <c r="G14" s="36">
        <f t="shared" si="4"/>
        <v>151472177</v>
      </c>
      <c r="H14" s="36"/>
      <c r="I14" s="13"/>
    </row>
    <row r="15" spans="1:9">
      <c r="A15" s="27" t="s">
        <v>71</v>
      </c>
      <c r="B15" s="21" t="s">
        <v>72</v>
      </c>
      <c r="C15" s="36">
        <v>24153615</v>
      </c>
      <c r="D15" s="36">
        <f t="shared" si="2"/>
        <v>24153615</v>
      </c>
      <c r="E15" s="36">
        <f t="shared" si="3"/>
        <v>30598004.619999997</v>
      </c>
      <c r="F15" s="36">
        <f>+'өр ав'!I5</f>
        <v>30598004.619999997</v>
      </c>
      <c r="G15" s="36">
        <f t="shared" si="4"/>
        <v>30598004.619999997</v>
      </c>
      <c r="H15" s="36"/>
      <c r="I15" s="13"/>
    </row>
    <row r="16" spans="1:9">
      <c r="A16" s="27" t="s">
        <v>73</v>
      </c>
      <c r="B16" s="21" t="s">
        <v>74</v>
      </c>
      <c r="C16" s="36">
        <v>35637132.700000003</v>
      </c>
      <c r="D16" s="36">
        <f t="shared" si="2"/>
        <v>35637132.700000003</v>
      </c>
      <c r="E16" s="36">
        <f t="shared" si="3"/>
        <v>41362659.930000007</v>
      </c>
      <c r="F16" s="36">
        <f>+'өр ав'!J5</f>
        <v>41362659.930000007</v>
      </c>
      <c r="G16" s="36">
        <f t="shared" si="4"/>
        <v>41362659.930000007</v>
      </c>
      <c r="H16" s="36"/>
      <c r="I16" s="13"/>
    </row>
    <row r="17" spans="1:9">
      <c r="A17" s="27" t="s">
        <v>75</v>
      </c>
      <c r="B17" s="21" t="s">
        <v>13</v>
      </c>
      <c r="C17" s="36">
        <v>5933008</v>
      </c>
      <c r="D17" s="36">
        <f t="shared" si="2"/>
        <v>5933008</v>
      </c>
      <c r="E17" s="36">
        <f t="shared" si="3"/>
        <v>8036213</v>
      </c>
      <c r="F17" s="36">
        <f>+'өр ав'!K5</f>
        <v>8036213</v>
      </c>
      <c r="G17" s="36">
        <f t="shared" si="4"/>
        <v>8036213</v>
      </c>
      <c r="H17" s="36"/>
      <c r="I17" s="13"/>
    </row>
    <row r="18" spans="1:9">
      <c r="A18" s="27" t="s">
        <v>76</v>
      </c>
      <c r="B18" s="21" t="s">
        <v>77</v>
      </c>
      <c r="C18" s="36">
        <v>10812145</v>
      </c>
      <c r="D18" s="36">
        <f t="shared" si="2"/>
        <v>10812145</v>
      </c>
      <c r="E18" s="36">
        <f t="shared" si="3"/>
        <v>42953777</v>
      </c>
      <c r="F18" s="36">
        <f>+'өр ав'!L5</f>
        <v>42953777</v>
      </c>
      <c r="G18" s="36">
        <f t="shared" si="4"/>
        <v>42953777</v>
      </c>
      <c r="H18" s="36"/>
      <c r="I18" s="13"/>
    </row>
    <row r="19" spans="1:9">
      <c r="A19" s="27" t="s">
        <v>78</v>
      </c>
      <c r="B19" s="21" t="s">
        <v>32</v>
      </c>
      <c r="C19" s="36">
        <v>7141560</v>
      </c>
      <c r="D19" s="36">
        <f t="shared" si="2"/>
        <v>7141560</v>
      </c>
      <c r="E19" s="36">
        <f t="shared" si="3"/>
        <v>8505595</v>
      </c>
      <c r="F19" s="36">
        <f>+'өр ав'!M5</f>
        <v>8505595</v>
      </c>
      <c r="G19" s="36">
        <f t="shared" si="4"/>
        <v>8505595</v>
      </c>
      <c r="H19" s="36"/>
      <c r="I19" s="13"/>
    </row>
    <row r="20" spans="1:9">
      <c r="A20" s="27" t="s">
        <v>79</v>
      </c>
      <c r="B20" s="21" t="s">
        <v>11</v>
      </c>
      <c r="C20" s="36">
        <v>5412872</v>
      </c>
      <c r="D20" s="36">
        <f t="shared" si="2"/>
        <v>5412872</v>
      </c>
      <c r="E20" s="36">
        <f t="shared" si="3"/>
        <v>1970113</v>
      </c>
      <c r="F20" s="36">
        <f>+'өр ав'!N5</f>
        <v>1970113</v>
      </c>
      <c r="G20" s="36">
        <f t="shared" si="4"/>
        <v>1970113</v>
      </c>
      <c r="H20" s="36"/>
      <c r="I20" s="13"/>
    </row>
    <row r="21" spans="1:9">
      <c r="A21" s="27" t="s">
        <v>80</v>
      </c>
      <c r="B21" s="21" t="s">
        <v>81</v>
      </c>
      <c r="C21" s="36">
        <v>3648566</v>
      </c>
      <c r="D21" s="36">
        <f t="shared" si="2"/>
        <v>3648566</v>
      </c>
      <c r="E21" s="36">
        <f t="shared" si="3"/>
        <v>3944247</v>
      </c>
      <c r="F21" s="36">
        <f>+'өр ав'!O5</f>
        <v>3944247</v>
      </c>
      <c r="G21" s="36">
        <f t="shared" si="4"/>
        <v>3944247</v>
      </c>
      <c r="H21" s="36"/>
      <c r="I21" s="13"/>
    </row>
    <row r="22" spans="1:9">
      <c r="A22" s="27" t="s">
        <v>82</v>
      </c>
      <c r="B22" s="21" t="s">
        <v>35</v>
      </c>
      <c r="C22" s="36">
        <v>4000000</v>
      </c>
      <c r="D22" s="36">
        <f t="shared" si="2"/>
        <v>4000000</v>
      </c>
      <c r="E22" s="36">
        <f t="shared" si="3"/>
        <v>7700000</v>
      </c>
      <c r="F22" s="36">
        <f>+'өр ав'!P5</f>
        <v>7700000</v>
      </c>
      <c r="G22" s="36">
        <f t="shared" si="4"/>
        <v>7700000</v>
      </c>
      <c r="H22" s="36"/>
      <c r="I22" s="13"/>
    </row>
    <row r="23" spans="1:9" ht="25.5">
      <c r="A23" s="27" t="s">
        <v>83</v>
      </c>
      <c r="B23" s="21" t="s">
        <v>84</v>
      </c>
      <c r="C23" s="36"/>
      <c r="D23" s="36">
        <f t="shared" si="2"/>
        <v>0</v>
      </c>
      <c r="E23" s="36">
        <f t="shared" si="3"/>
        <v>0</v>
      </c>
      <c r="F23" s="36"/>
      <c r="G23" s="36">
        <f t="shared" si="4"/>
        <v>0</v>
      </c>
      <c r="H23" s="36"/>
      <c r="I23" s="13"/>
    </row>
    <row r="24" spans="1:9" ht="25.5">
      <c r="A24" s="27" t="s">
        <v>85</v>
      </c>
      <c r="B24" s="21" t="s">
        <v>86</v>
      </c>
      <c r="C24" s="36">
        <v>5438610</v>
      </c>
      <c r="D24" s="36">
        <f t="shared" si="2"/>
        <v>5438610</v>
      </c>
      <c r="E24" s="36">
        <f t="shared" si="3"/>
        <v>6041310</v>
      </c>
      <c r="F24" s="36">
        <f>+'өр ав'!Q5</f>
        <v>6041310</v>
      </c>
      <c r="G24" s="36">
        <f t="shared" si="4"/>
        <v>6041310</v>
      </c>
      <c r="H24" s="36"/>
      <c r="I24" s="13"/>
    </row>
    <row r="25" spans="1:9">
      <c r="A25" s="27" t="s">
        <v>87</v>
      </c>
      <c r="B25" s="21" t="s">
        <v>88</v>
      </c>
      <c r="C25" s="36">
        <v>185350</v>
      </c>
      <c r="D25" s="36">
        <f t="shared" si="2"/>
        <v>185350</v>
      </c>
      <c r="E25" s="36">
        <f t="shared" si="3"/>
        <v>850350</v>
      </c>
      <c r="F25" s="36">
        <f>+'өр ав'!R5</f>
        <v>850350</v>
      </c>
      <c r="G25" s="36">
        <f t="shared" si="4"/>
        <v>850350</v>
      </c>
      <c r="H25" s="36"/>
      <c r="I25" s="13"/>
    </row>
    <row r="26" spans="1:9">
      <c r="A26" s="27" t="s">
        <v>89</v>
      </c>
      <c r="B26" s="21" t="s">
        <v>90</v>
      </c>
      <c r="C26" s="36">
        <v>12401270</v>
      </c>
      <c r="D26" s="36">
        <f t="shared" si="2"/>
        <v>12401270</v>
      </c>
      <c r="E26" s="36">
        <f t="shared" si="3"/>
        <v>18307395</v>
      </c>
      <c r="F26" s="36">
        <f>+'өр ав'!S5</f>
        <v>18307395</v>
      </c>
      <c r="G26" s="36">
        <f t="shared" si="4"/>
        <v>18307395</v>
      </c>
      <c r="H26" s="36"/>
      <c r="I26" s="13"/>
    </row>
    <row r="27" spans="1:9">
      <c r="A27" s="27" t="s">
        <v>91</v>
      </c>
      <c r="B27" s="21" t="s">
        <v>92</v>
      </c>
      <c r="C27" s="36">
        <v>27000</v>
      </c>
      <c r="D27" s="36">
        <f t="shared" si="2"/>
        <v>27000</v>
      </c>
      <c r="E27" s="36">
        <f t="shared" si="3"/>
        <v>0</v>
      </c>
      <c r="F27" s="36">
        <f>+'өр ав'!T5</f>
        <v>0</v>
      </c>
      <c r="G27" s="36">
        <f t="shared" si="4"/>
        <v>0</v>
      </c>
      <c r="H27" s="36"/>
      <c r="I27" s="13"/>
    </row>
    <row r="28" spans="1:9">
      <c r="A28" s="27" t="s">
        <v>93</v>
      </c>
      <c r="B28" s="21" t="s">
        <v>94</v>
      </c>
      <c r="C28" s="36"/>
      <c r="D28" s="36">
        <f t="shared" si="2"/>
        <v>0</v>
      </c>
      <c r="E28" s="36">
        <f t="shared" si="3"/>
        <v>0</v>
      </c>
      <c r="F28" s="36"/>
      <c r="G28" s="36">
        <f t="shared" si="4"/>
        <v>0</v>
      </c>
      <c r="H28" s="36"/>
      <c r="I28" s="13"/>
    </row>
    <row r="29" spans="1:9">
      <c r="A29" s="27" t="s">
        <v>95</v>
      </c>
      <c r="B29" s="21" t="s">
        <v>96</v>
      </c>
      <c r="C29" s="36"/>
      <c r="D29" s="36">
        <f t="shared" si="2"/>
        <v>0</v>
      </c>
      <c r="E29" s="36">
        <f t="shared" si="3"/>
        <v>0</v>
      </c>
      <c r="F29" s="36"/>
      <c r="G29" s="36">
        <f t="shared" si="4"/>
        <v>0</v>
      </c>
      <c r="H29" s="36"/>
      <c r="I29" s="13"/>
    </row>
    <row r="30" spans="1:9">
      <c r="A30" s="27" t="s">
        <v>97</v>
      </c>
      <c r="B30" s="21" t="s">
        <v>98</v>
      </c>
      <c r="C30" s="36"/>
      <c r="D30" s="36">
        <f t="shared" si="2"/>
        <v>0</v>
      </c>
      <c r="E30" s="36">
        <f t="shared" si="3"/>
        <v>0</v>
      </c>
      <c r="F30" s="36"/>
      <c r="G30" s="36">
        <f t="shared" si="4"/>
        <v>0</v>
      </c>
      <c r="H30" s="36"/>
      <c r="I30" s="13"/>
    </row>
    <row r="31" spans="1:9">
      <c r="A31" s="27" t="s">
        <v>99</v>
      </c>
      <c r="B31" s="21" t="s">
        <v>17</v>
      </c>
      <c r="C31" s="36">
        <v>24543580</v>
      </c>
      <c r="D31" s="36">
        <f t="shared" si="2"/>
        <v>24543580</v>
      </c>
      <c r="E31" s="36">
        <f t="shared" si="3"/>
        <v>28481350</v>
      </c>
      <c r="F31" s="36">
        <f>+'өр ав'!U5</f>
        <v>28481350</v>
      </c>
      <c r="G31" s="36">
        <f t="shared" si="4"/>
        <v>28481350</v>
      </c>
      <c r="H31" s="36"/>
      <c r="I31" s="13"/>
    </row>
    <row r="32" spans="1:9">
      <c r="A32" s="27" t="s">
        <v>100</v>
      </c>
      <c r="B32" s="21" t="s">
        <v>101</v>
      </c>
      <c r="C32" s="36"/>
      <c r="D32" s="36">
        <f t="shared" si="2"/>
        <v>0</v>
      </c>
      <c r="E32" s="36">
        <f t="shared" si="3"/>
        <v>0</v>
      </c>
      <c r="F32" s="36"/>
      <c r="G32" s="36">
        <f t="shared" si="4"/>
        <v>0</v>
      </c>
      <c r="H32" s="36"/>
      <c r="I32" s="13"/>
    </row>
    <row r="33" spans="1:9">
      <c r="A33" s="27" t="s">
        <v>102</v>
      </c>
      <c r="B33" s="21" t="s">
        <v>103</v>
      </c>
      <c r="C33" s="36">
        <v>9849580</v>
      </c>
      <c r="D33" s="36">
        <f t="shared" si="2"/>
        <v>9849580</v>
      </c>
      <c r="E33" s="36">
        <f t="shared" si="3"/>
        <v>2610100</v>
      </c>
      <c r="F33" s="36">
        <f>+'өр ав'!V5</f>
        <v>2610100</v>
      </c>
      <c r="G33" s="36">
        <f t="shared" si="4"/>
        <v>2610100</v>
      </c>
      <c r="H33" s="36"/>
      <c r="I33" s="13"/>
    </row>
    <row r="34" spans="1:9">
      <c r="A34" s="27" t="s">
        <v>104</v>
      </c>
      <c r="B34" s="21" t="s">
        <v>105</v>
      </c>
      <c r="C34" s="36">
        <v>0</v>
      </c>
      <c r="D34" s="36">
        <f t="shared" si="2"/>
        <v>0</v>
      </c>
      <c r="E34" s="36">
        <f t="shared" si="3"/>
        <v>0</v>
      </c>
      <c r="F34" s="36">
        <f>+'өр ав'!W5</f>
        <v>0</v>
      </c>
      <c r="G34" s="36">
        <f t="shared" si="4"/>
        <v>0</v>
      </c>
      <c r="H34" s="36"/>
      <c r="I34" s="13"/>
    </row>
    <row r="35" spans="1:9" ht="25.5">
      <c r="A35" s="27" t="s">
        <v>106</v>
      </c>
      <c r="B35" s="30" t="s">
        <v>107</v>
      </c>
      <c r="C35" s="36">
        <v>8540106</v>
      </c>
      <c r="D35" s="36">
        <f t="shared" si="2"/>
        <v>8540106</v>
      </c>
      <c r="E35" s="36">
        <f t="shared" si="3"/>
        <v>28575983</v>
      </c>
      <c r="F35" s="36">
        <f>+'өр ав'!X5</f>
        <v>28575983</v>
      </c>
      <c r="G35" s="36">
        <f t="shared" si="4"/>
        <v>28575983</v>
      </c>
      <c r="H35" s="36"/>
      <c r="I35" s="13"/>
    </row>
    <row r="36" spans="1:9" ht="25.5">
      <c r="A36" s="27" t="s">
        <v>108</v>
      </c>
      <c r="B36" s="30" t="s">
        <v>109</v>
      </c>
      <c r="C36" s="36">
        <v>1280000</v>
      </c>
      <c r="D36" s="36">
        <f t="shared" si="2"/>
        <v>1280000</v>
      </c>
      <c r="E36" s="36">
        <f t="shared" si="3"/>
        <v>720000</v>
      </c>
      <c r="F36" s="36">
        <f>+'өр ав'!Z5</f>
        <v>720000</v>
      </c>
      <c r="G36" s="36">
        <f t="shared" si="4"/>
        <v>720000</v>
      </c>
      <c r="H36" s="36"/>
      <c r="I36" s="13"/>
    </row>
    <row r="37" spans="1:9">
      <c r="A37" s="27" t="s">
        <v>110</v>
      </c>
      <c r="B37" s="30" t="s">
        <v>43</v>
      </c>
      <c r="C37" s="36">
        <v>3395648</v>
      </c>
      <c r="D37" s="36">
        <f t="shared" si="2"/>
        <v>3395648</v>
      </c>
      <c r="E37" s="36">
        <f t="shared" si="3"/>
        <v>3471000</v>
      </c>
      <c r="F37" s="36">
        <f>+'өр ав'!AA5</f>
        <v>3471000</v>
      </c>
      <c r="G37" s="36">
        <f t="shared" si="4"/>
        <v>3471000</v>
      </c>
      <c r="H37" s="36"/>
      <c r="I37" s="13"/>
    </row>
    <row r="38" spans="1:9">
      <c r="A38" s="27" t="s">
        <v>111</v>
      </c>
      <c r="B38" s="30" t="s">
        <v>112</v>
      </c>
      <c r="C38" s="36">
        <v>2602470</v>
      </c>
      <c r="D38" s="36">
        <f t="shared" si="2"/>
        <v>2602470</v>
      </c>
      <c r="E38" s="36">
        <f t="shared" si="3"/>
        <v>1470970</v>
      </c>
      <c r="F38" s="36">
        <f>+'өр ав'!AB5</f>
        <v>1470970</v>
      </c>
      <c r="G38" s="36">
        <f t="shared" si="4"/>
        <v>1470970</v>
      </c>
      <c r="H38" s="36"/>
      <c r="I38" s="13"/>
    </row>
    <row r="39" spans="1:9">
      <c r="A39" s="27" t="s">
        <v>113</v>
      </c>
      <c r="B39" s="30" t="s">
        <v>114</v>
      </c>
      <c r="C39" s="36">
        <v>236500</v>
      </c>
      <c r="D39" s="36">
        <f t="shared" si="2"/>
        <v>236500</v>
      </c>
      <c r="E39" s="36">
        <f t="shared" si="3"/>
        <v>236500</v>
      </c>
      <c r="F39" s="36">
        <f>+'өр ав'!AC5</f>
        <v>236500</v>
      </c>
      <c r="G39" s="36">
        <f t="shared" si="4"/>
        <v>236500</v>
      </c>
      <c r="H39" s="36"/>
      <c r="I39" s="13"/>
    </row>
    <row r="40" spans="1:9">
      <c r="A40" s="27" t="s">
        <v>115</v>
      </c>
      <c r="B40" s="30" t="s">
        <v>116</v>
      </c>
      <c r="C40" s="36">
        <v>121000</v>
      </c>
      <c r="D40" s="36">
        <f t="shared" si="2"/>
        <v>121000</v>
      </c>
      <c r="E40" s="36">
        <f t="shared" si="3"/>
        <v>121000</v>
      </c>
      <c r="F40" s="36">
        <f>+'өр ав'!AD5</f>
        <v>121000</v>
      </c>
      <c r="G40" s="36">
        <f t="shared" si="4"/>
        <v>121000</v>
      </c>
      <c r="H40" s="36"/>
      <c r="I40" s="13"/>
    </row>
    <row r="41" spans="1:9">
      <c r="A41" s="27" t="s">
        <v>117</v>
      </c>
      <c r="B41" s="30" t="s">
        <v>118</v>
      </c>
      <c r="C41" s="36">
        <v>799384</v>
      </c>
      <c r="D41" s="36">
        <f t="shared" si="2"/>
        <v>799384</v>
      </c>
      <c r="E41" s="36">
        <f t="shared" si="3"/>
        <v>1049384</v>
      </c>
      <c r="F41" s="36">
        <f>+'өр ав'!AE5</f>
        <v>1049384</v>
      </c>
      <c r="G41" s="36">
        <f t="shared" si="4"/>
        <v>1049384</v>
      </c>
      <c r="H41" s="36"/>
      <c r="I41" s="13"/>
    </row>
    <row r="42" spans="1:9" ht="25.5">
      <c r="A42" s="27" t="s">
        <v>119</v>
      </c>
      <c r="B42" s="30" t="s">
        <v>120</v>
      </c>
      <c r="C42" s="38"/>
      <c r="D42" s="36">
        <f t="shared" si="2"/>
        <v>0</v>
      </c>
      <c r="E42" s="36">
        <f t="shared" si="3"/>
        <v>0</v>
      </c>
      <c r="F42" s="38"/>
      <c r="G42" s="36">
        <f t="shared" si="4"/>
        <v>0</v>
      </c>
      <c r="H42" s="38"/>
      <c r="I42" s="15"/>
    </row>
    <row r="43" spans="1:9" ht="25.5">
      <c r="A43" s="27" t="s">
        <v>121</v>
      </c>
      <c r="B43" s="30" t="s">
        <v>122</v>
      </c>
      <c r="C43" s="36"/>
      <c r="D43" s="36">
        <f t="shared" si="2"/>
        <v>0</v>
      </c>
      <c r="E43" s="36">
        <f t="shared" si="3"/>
        <v>0</v>
      </c>
      <c r="F43" s="36"/>
      <c r="G43" s="36">
        <f t="shared" si="4"/>
        <v>0</v>
      </c>
      <c r="H43" s="36"/>
      <c r="I43" s="13"/>
    </row>
    <row r="44" spans="1:9">
      <c r="A44" s="27" t="s">
        <v>123</v>
      </c>
      <c r="B44" s="30" t="s">
        <v>124</v>
      </c>
      <c r="C44" s="36"/>
      <c r="D44" s="36">
        <f t="shared" si="2"/>
        <v>0</v>
      </c>
      <c r="E44" s="36">
        <f t="shared" si="3"/>
        <v>0</v>
      </c>
      <c r="F44" s="36"/>
      <c r="G44" s="36">
        <f t="shared" si="4"/>
        <v>0</v>
      </c>
      <c r="H44" s="36"/>
      <c r="I44" s="13"/>
    </row>
    <row r="45" spans="1:9">
      <c r="A45" s="27">
        <v>210902</v>
      </c>
      <c r="B45" s="30" t="s">
        <v>125</v>
      </c>
      <c r="C45" s="36">
        <v>0</v>
      </c>
      <c r="D45" s="36">
        <f t="shared" si="2"/>
        <v>0</v>
      </c>
      <c r="E45" s="36">
        <f t="shared" si="3"/>
        <v>0</v>
      </c>
      <c r="F45" s="36">
        <f>+'өр ав'!Y5</f>
        <v>0</v>
      </c>
      <c r="G45" s="36">
        <f t="shared" si="4"/>
        <v>0</v>
      </c>
      <c r="H45" s="36"/>
      <c r="I45" s="13"/>
    </row>
    <row r="46" spans="1:9" ht="25.5">
      <c r="A46" s="27" t="s">
        <v>126</v>
      </c>
      <c r="B46" s="21" t="s">
        <v>127</v>
      </c>
      <c r="C46" s="36"/>
      <c r="D46" s="36">
        <f t="shared" si="2"/>
        <v>0</v>
      </c>
      <c r="E46" s="36">
        <f t="shared" si="3"/>
        <v>0</v>
      </c>
      <c r="F46" s="36"/>
      <c r="G46" s="36">
        <f t="shared" si="4"/>
        <v>0</v>
      </c>
      <c r="H46" s="36"/>
      <c r="I46" s="13"/>
    </row>
    <row r="47" spans="1:9" ht="25.5">
      <c r="A47" s="27" t="s">
        <v>128</v>
      </c>
      <c r="B47" s="21" t="s">
        <v>129</v>
      </c>
      <c r="C47" s="36"/>
      <c r="D47" s="36">
        <f t="shared" si="2"/>
        <v>0</v>
      </c>
      <c r="E47" s="36">
        <f t="shared" si="3"/>
        <v>0</v>
      </c>
      <c r="F47" s="36"/>
      <c r="G47" s="36">
        <f t="shared" si="4"/>
        <v>0</v>
      </c>
      <c r="H47" s="36"/>
      <c r="I47" s="13"/>
    </row>
    <row r="48" spans="1:9" ht="25.5">
      <c r="A48" s="27" t="s">
        <v>130</v>
      </c>
      <c r="B48" s="21" t="s">
        <v>131</v>
      </c>
      <c r="C48" s="36"/>
      <c r="D48" s="36">
        <f t="shared" si="2"/>
        <v>0</v>
      </c>
      <c r="E48" s="36">
        <f t="shared" si="3"/>
        <v>0</v>
      </c>
      <c r="F48" s="36"/>
      <c r="G48" s="36">
        <f t="shared" si="4"/>
        <v>0</v>
      </c>
      <c r="H48" s="36"/>
      <c r="I48" s="13"/>
    </row>
    <row r="49" spans="1:9" ht="25.5">
      <c r="A49" s="27" t="s">
        <v>132</v>
      </c>
      <c r="B49" s="21" t="s">
        <v>133</v>
      </c>
      <c r="C49" s="36">
        <v>1138110885</v>
      </c>
      <c r="D49" s="36">
        <v>0</v>
      </c>
      <c r="E49" s="36">
        <f>+F49-C49</f>
        <v>397780927</v>
      </c>
      <c r="F49" s="36">
        <f>+'өр ав'!AF5</f>
        <v>1535891812</v>
      </c>
      <c r="G49" s="36">
        <f>+F49</f>
        <v>1535891812</v>
      </c>
      <c r="H49" s="36"/>
      <c r="I49" s="13"/>
    </row>
    <row r="50" spans="1:9" ht="38.25">
      <c r="A50" s="27" t="s">
        <v>134</v>
      </c>
      <c r="B50" s="21" t="s">
        <v>135</v>
      </c>
      <c r="C50" s="36">
        <v>446761115</v>
      </c>
      <c r="D50" s="36">
        <f>+C50-F50</f>
        <v>384892055</v>
      </c>
      <c r="E50" s="36">
        <v>0</v>
      </c>
      <c r="F50" s="36">
        <f>+'өр ав'!AG5</f>
        <v>61869060</v>
      </c>
      <c r="G50" s="36">
        <f>+F50</f>
        <v>61869060</v>
      </c>
      <c r="H50" s="36"/>
      <c r="I50" s="13"/>
    </row>
    <row r="51" spans="1:9" ht="25.5">
      <c r="A51" s="27" t="s">
        <v>136</v>
      </c>
      <c r="B51" s="21" t="s">
        <v>137</v>
      </c>
      <c r="C51" s="36">
        <v>574500</v>
      </c>
      <c r="D51" s="36">
        <f t="shared" ref="D51" si="5">+C51-F51</f>
        <v>0</v>
      </c>
      <c r="E51" s="36"/>
      <c r="F51" s="36">
        <f>+'өр ав'!AH5</f>
        <v>574500</v>
      </c>
      <c r="G51" s="36">
        <f t="shared" si="4"/>
        <v>574500</v>
      </c>
      <c r="H51" s="36"/>
      <c r="I51" s="13"/>
    </row>
    <row r="52" spans="1:9">
      <c r="A52" s="27" t="s">
        <v>138</v>
      </c>
      <c r="B52" s="21" t="s">
        <v>139</v>
      </c>
      <c r="C52" s="36"/>
      <c r="D52" s="36">
        <f t="shared" si="2"/>
        <v>0</v>
      </c>
      <c r="E52" s="36">
        <f t="shared" si="3"/>
        <v>0</v>
      </c>
      <c r="F52" s="36"/>
      <c r="G52" s="36">
        <f t="shared" si="4"/>
        <v>0</v>
      </c>
      <c r="H52" s="36"/>
      <c r="I52" s="13"/>
    </row>
    <row r="53" spans="1:9">
      <c r="A53" s="27" t="s">
        <v>140</v>
      </c>
      <c r="B53" s="21" t="s">
        <v>141</v>
      </c>
      <c r="C53" s="36"/>
      <c r="D53" s="36">
        <f t="shared" si="2"/>
        <v>0</v>
      </c>
      <c r="E53" s="36">
        <f t="shared" si="3"/>
        <v>0</v>
      </c>
      <c r="F53" s="36"/>
      <c r="G53" s="36">
        <f t="shared" si="4"/>
        <v>0</v>
      </c>
      <c r="H53" s="36"/>
      <c r="I53" s="13"/>
    </row>
    <row r="54" spans="1:9">
      <c r="A54" s="27" t="s">
        <v>142</v>
      </c>
      <c r="B54" s="21" t="s">
        <v>143</v>
      </c>
      <c r="C54" s="36"/>
      <c r="D54" s="36">
        <f t="shared" si="2"/>
        <v>0</v>
      </c>
      <c r="E54" s="36">
        <f t="shared" si="3"/>
        <v>0</v>
      </c>
      <c r="F54" s="36"/>
      <c r="G54" s="36">
        <f t="shared" si="4"/>
        <v>0</v>
      </c>
      <c r="H54" s="36"/>
      <c r="I54" s="13"/>
    </row>
    <row r="55" spans="1:9">
      <c r="A55" s="27" t="s">
        <v>144</v>
      </c>
      <c r="B55" s="21" t="s">
        <v>145</v>
      </c>
      <c r="C55" s="36"/>
      <c r="D55" s="36">
        <f t="shared" si="2"/>
        <v>0</v>
      </c>
      <c r="E55" s="36">
        <f t="shared" si="3"/>
        <v>0</v>
      </c>
      <c r="F55" s="36"/>
      <c r="G55" s="36">
        <f t="shared" si="4"/>
        <v>0</v>
      </c>
      <c r="H55" s="36"/>
      <c r="I55" s="13"/>
    </row>
    <row r="56" spans="1:9" s="117" customFormat="1">
      <c r="A56" s="116"/>
      <c r="B56" s="16"/>
      <c r="C56" s="39"/>
      <c r="D56" s="39"/>
      <c r="E56" s="39"/>
      <c r="F56" s="39"/>
      <c r="G56" s="39"/>
      <c r="H56" s="39"/>
      <c r="I56" s="17"/>
    </row>
    <row r="57" spans="1:9" s="117" customFormat="1">
      <c r="A57" s="116"/>
      <c r="B57" s="16"/>
      <c r="C57" s="39"/>
      <c r="D57" s="39"/>
      <c r="E57" s="39"/>
      <c r="F57" s="39"/>
      <c r="G57" s="39"/>
      <c r="H57" s="39"/>
      <c r="I57" s="17"/>
    </row>
    <row r="58" spans="1:9" s="117" customFormat="1">
      <c r="A58" s="116"/>
      <c r="B58" s="16"/>
      <c r="C58" s="39"/>
      <c r="D58" s="39"/>
      <c r="E58" s="39"/>
      <c r="F58" s="39"/>
      <c r="G58" s="39"/>
      <c r="H58" s="39"/>
      <c r="I58" s="17"/>
    </row>
    <row r="59" spans="1:9" s="117" customFormat="1" ht="16.5">
      <c r="A59" s="31"/>
      <c r="B59" s="118" t="s">
        <v>245</v>
      </c>
      <c r="C59" s="63"/>
      <c r="D59" s="63"/>
      <c r="E59" s="63"/>
      <c r="F59" s="63"/>
      <c r="G59" s="64"/>
      <c r="H59" s="40"/>
    </row>
    <row r="60" spans="1:9" s="117" customFormat="1" ht="16.5">
      <c r="A60" s="33"/>
      <c r="B60" s="65" t="s">
        <v>246</v>
      </c>
      <c r="C60" s="63"/>
      <c r="D60" s="63"/>
      <c r="E60" s="63"/>
      <c r="F60" s="63"/>
      <c r="G60" s="63" t="s">
        <v>247</v>
      </c>
      <c r="H60" s="34"/>
    </row>
    <row r="61" spans="1:9" s="117" customFormat="1" ht="16.5">
      <c r="A61" s="33"/>
      <c r="B61" s="65"/>
      <c r="C61" s="63"/>
      <c r="D61" s="63"/>
      <c r="E61" s="63"/>
      <c r="F61" s="64"/>
      <c r="G61" s="64"/>
      <c r="H61" s="40"/>
    </row>
    <row r="62" spans="1:9" ht="16.5">
      <c r="A62" s="33"/>
      <c r="B62" s="65" t="s">
        <v>20</v>
      </c>
      <c r="C62" s="63"/>
      <c r="D62" s="63"/>
      <c r="E62" s="63"/>
      <c r="F62" s="64"/>
      <c r="G62" s="64"/>
      <c r="H62" s="40"/>
    </row>
    <row r="63" spans="1:9" ht="16.5">
      <c r="A63" s="33"/>
      <c r="B63" s="65" t="s">
        <v>295</v>
      </c>
      <c r="C63" s="66"/>
      <c r="D63" s="66"/>
      <c r="E63" s="66"/>
      <c r="F63" s="63"/>
      <c r="G63" s="67" t="s">
        <v>26</v>
      </c>
      <c r="H63" s="41"/>
      <c r="I63" s="32"/>
    </row>
    <row r="64" spans="1:9" ht="16.5">
      <c r="A64" s="33"/>
      <c r="B64" s="65"/>
      <c r="C64" s="63"/>
      <c r="D64" s="63"/>
      <c r="E64" s="63"/>
      <c r="F64" s="63"/>
      <c r="G64" s="64"/>
      <c r="H64" s="40"/>
      <c r="I64" s="18"/>
    </row>
    <row r="65" spans="1:9" ht="16.5">
      <c r="A65" s="33"/>
      <c r="B65" s="65" t="s">
        <v>21</v>
      </c>
      <c r="C65" s="66"/>
      <c r="D65" s="66"/>
      <c r="E65" s="66"/>
      <c r="F65" s="63"/>
      <c r="G65" s="66"/>
      <c r="H65" s="41"/>
      <c r="I65" s="32"/>
    </row>
    <row r="66" spans="1:9" ht="16.5">
      <c r="A66" s="33"/>
      <c r="B66" s="65" t="s">
        <v>283</v>
      </c>
      <c r="C66" s="63"/>
      <c r="D66" s="63"/>
      <c r="E66" s="63"/>
      <c r="F66" s="63"/>
      <c r="G66" s="67" t="s">
        <v>27</v>
      </c>
      <c r="H66" s="34"/>
      <c r="I66" s="19"/>
    </row>
    <row r="67" spans="1:9" ht="16.5">
      <c r="A67" s="33"/>
      <c r="B67" s="65"/>
      <c r="C67" s="66"/>
      <c r="D67" s="66"/>
      <c r="E67" s="66"/>
      <c r="F67" s="66"/>
      <c r="G67" s="63"/>
      <c r="H67" s="34"/>
      <c r="I67" s="19"/>
    </row>
    <row r="68" spans="1:9" ht="16.5">
      <c r="A68" s="33"/>
      <c r="B68" s="65" t="s">
        <v>22</v>
      </c>
      <c r="C68" s="63"/>
      <c r="D68" s="63"/>
      <c r="E68" s="63"/>
      <c r="F68" s="63"/>
      <c r="G68" s="63"/>
      <c r="H68" s="34"/>
      <c r="I68" s="19"/>
    </row>
    <row r="69" spans="1:9" ht="16.5">
      <c r="A69" s="33"/>
      <c r="B69" s="65" t="s">
        <v>250</v>
      </c>
      <c r="C69" s="66"/>
      <c r="D69" s="66"/>
      <c r="E69" s="63"/>
      <c r="F69" s="66"/>
      <c r="G69" s="67" t="s">
        <v>28</v>
      </c>
      <c r="H69" s="41"/>
      <c r="I69" s="19"/>
    </row>
    <row r="70" spans="1:9">
      <c r="B70" s="19"/>
      <c r="C70" s="34"/>
      <c r="D70" s="34"/>
      <c r="E70" s="34"/>
      <c r="F70" s="34"/>
      <c r="G70" s="34"/>
      <c r="H70" s="34"/>
      <c r="I70" s="19"/>
    </row>
    <row r="71" spans="1:9">
      <c r="B71" s="19"/>
      <c r="C71" s="34"/>
      <c r="D71" s="34"/>
      <c r="E71" s="34"/>
      <c r="F71" s="34"/>
      <c r="G71" s="34"/>
      <c r="H71" s="34"/>
      <c r="I71" s="19"/>
    </row>
    <row r="72" spans="1:9">
      <c r="B72" s="19"/>
      <c r="C72" s="34"/>
      <c r="D72" s="34"/>
      <c r="E72" s="34"/>
      <c r="F72" s="34"/>
      <c r="G72" s="34"/>
      <c r="H72" s="34"/>
      <c r="I72" s="19"/>
    </row>
    <row r="73" spans="1:9">
      <c r="B73" s="19"/>
      <c r="C73" s="34"/>
      <c r="D73" s="34"/>
      <c r="E73" s="34"/>
      <c r="F73" s="34"/>
      <c r="G73" s="34"/>
      <c r="H73" s="34"/>
      <c r="I73" s="19"/>
    </row>
    <row r="74" spans="1:9">
      <c r="B74" s="19"/>
      <c r="C74" s="34"/>
      <c r="D74" s="34"/>
      <c r="E74" s="34"/>
      <c r="F74" s="34"/>
      <c r="G74" s="34"/>
      <c r="H74" s="34"/>
      <c r="I74" s="19"/>
    </row>
    <row r="75" spans="1:9">
      <c r="B75" s="19"/>
      <c r="C75" s="34"/>
      <c r="D75" s="34"/>
      <c r="E75" s="34"/>
      <c r="F75" s="34"/>
      <c r="G75" s="34"/>
      <c r="H75" s="34"/>
      <c r="I75" s="19"/>
    </row>
    <row r="76" spans="1:9">
      <c r="B76" s="19"/>
      <c r="C76" s="34"/>
      <c r="D76" s="34"/>
      <c r="E76" s="34"/>
      <c r="F76" s="34"/>
      <c r="G76" s="34"/>
      <c r="H76" s="34"/>
      <c r="I76" s="19"/>
    </row>
    <row r="77" spans="1:9">
      <c r="B77" s="19"/>
      <c r="C77" s="34"/>
      <c r="D77" s="34"/>
      <c r="E77" s="34"/>
      <c r="F77" s="34"/>
      <c r="G77" s="34"/>
      <c r="H77" s="34"/>
      <c r="I77" s="19"/>
    </row>
    <row r="78" spans="1:9">
      <c r="B78" s="19"/>
      <c r="C78" s="34"/>
      <c r="D78" s="34"/>
      <c r="E78" s="34"/>
      <c r="F78" s="34"/>
      <c r="G78" s="34"/>
      <c r="H78" s="34"/>
      <c r="I78" s="19"/>
    </row>
    <row r="79" spans="1:9">
      <c r="B79" s="19"/>
      <c r="C79" s="34"/>
      <c r="D79" s="34"/>
      <c r="E79" s="34"/>
      <c r="F79" s="34"/>
      <c r="G79" s="34"/>
      <c r="H79" s="34"/>
      <c r="I79" s="19"/>
    </row>
    <row r="80" spans="1:9">
      <c r="B80" s="19"/>
      <c r="C80" s="34"/>
      <c r="D80" s="34"/>
      <c r="E80" s="34"/>
      <c r="F80" s="34"/>
      <c r="G80" s="34"/>
      <c r="H80" s="34"/>
      <c r="I80" s="19"/>
    </row>
    <row r="81" spans="2:9">
      <c r="B81" s="19"/>
      <c r="C81" s="34"/>
      <c r="D81" s="34"/>
      <c r="E81" s="34"/>
      <c r="F81" s="34"/>
      <c r="G81" s="34"/>
      <c r="H81" s="34"/>
      <c r="I81" s="19"/>
    </row>
    <row r="82" spans="2:9">
      <c r="B82" s="19"/>
      <c r="C82" s="34"/>
      <c r="D82" s="34"/>
      <c r="E82" s="34"/>
      <c r="F82" s="34"/>
      <c r="G82" s="34"/>
      <c r="H82" s="34"/>
      <c r="I82" s="19"/>
    </row>
    <row r="83" spans="2:9">
      <c r="B83" s="19"/>
      <c r="C83" s="34"/>
      <c r="D83" s="34"/>
      <c r="E83" s="34"/>
      <c r="F83" s="34"/>
      <c r="G83" s="34"/>
      <c r="H83" s="34"/>
      <c r="I83" s="19"/>
    </row>
    <row r="84" spans="2:9">
      <c r="B84" s="19"/>
      <c r="C84" s="34"/>
      <c r="D84" s="34"/>
      <c r="E84" s="34"/>
      <c r="F84" s="34"/>
      <c r="G84" s="34"/>
      <c r="H84" s="34"/>
      <c r="I84" s="19"/>
    </row>
    <row r="85" spans="2:9">
      <c r="B85" s="19"/>
      <c r="C85" s="34"/>
      <c r="D85" s="34"/>
      <c r="E85" s="34"/>
      <c r="F85" s="34"/>
      <c r="G85" s="34"/>
      <c r="H85" s="34"/>
      <c r="I85" s="19"/>
    </row>
    <row r="86" spans="2:9">
      <c r="B86" s="19"/>
      <c r="C86" s="34"/>
      <c r="D86" s="34"/>
      <c r="E86" s="34"/>
      <c r="F86" s="34"/>
      <c r="G86" s="34"/>
      <c r="H86" s="34"/>
      <c r="I86" s="19"/>
    </row>
    <row r="87" spans="2:9">
      <c r="B87" s="19"/>
      <c r="C87" s="34"/>
      <c r="D87" s="34"/>
      <c r="E87" s="34"/>
      <c r="F87" s="34"/>
      <c r="G87" s="34"/>
      <c r="H87" s="34"/>
      <c r="I87" s="19"/>
    </row>
  </sheetData>
  <mergeCells count="6">
    <mergeCell ref="B1:I1"/>
    <mergeCell ref="A3:B3"/>
    <mergeCell ref="C3:C4"/>
    <mergeCell ref="D3:D4"/>
    <mergeCell ref="E3:E4"/>
    <mergeCell ref="F3:I3"/>
  </mergeCells>
  <pageMargins left="0.54" right="0.28999999999999998" top="0.86" bottom="0.35433070866141736" header="0.31496062992125984" footer="0.31496062992125984"/>
  <pageSetup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67" workbookViewId="0">
      <selection activeCell="A92" sqref="A92:C92"/>
    </sheetView>
  </sheetViews>
  <sheetFormatPr defaultColWidth="9.140625" defaultRowHeight="16.5"/>
  <cols>
    <col min="1" max="1" width="57" style="53" customWidth="1"/>
    <col min="2" max="2" width="0.140625" style="53" customWidth="1"/>
    <col min="3" max="3" width="20.140625" style="43" customWidth="1"/>
    <col min="4" max="4" width="0.140625" style="43" customWidth="1"/>
    <col min="5" max="5" width="21.28515625" style="43" customWidth="1"/>
    <col min="6" max="6" width="16.140625" style="7" customWidth="1"/>
    <col min="7" max="7" width="6.85546875" style="7" customWidth="1"/>
    <col min="8" max="8" width="23.28515625" style="90" customWidth="1"/>
    <col min="9" max="9" width="25.140625" style="42" customWidth="1"/>
    <col min="10" max="10" width="19.28515625" style="90" customWidth="1"/>
    <col min="11" max="16384" width="9.140625" style="43"/>
  </cols>
  <sheetData>
    <row r="1" spans="1:10" ht="33.75" customHeight="1">
      <c r="A1" s="131" t="s">
        <v>371</v>
      </c>
      <c r="B1" s="131"/>
      <c r="C1" s="131"/>
      <c r="D1" s="131"/>
      <c r="E1" s="131"/>
    </row>
    <row r="2" spans="1:10">
      <c r="C2" s="108">
        <f>+C5-C16</f>
        <v>0</v>
      </c>
    </row>
    <row r="3" spans="1:10" s="61" customFormat="1" ht="24" customHeight="1">
      <c r="A3" s="44" t="s">
        <v>2</v>
      </c>
      <c r="B3" s="45" t="s">
        <v>251</v>
      </c>
      <c r="C3" s="45" t="s">
        <v>1</v>
      </c>
      <c r="D3" s="45" t="s">
        <v>254</v>
      </c>
      <c r="E3" s="45" t="s">
        <v>3</v>
      </c>
      <c r="F3" s="86"/>
      <c r="G3" s="86"/>
      <c r="H3" s="91"/>
      <c r="I3" s="100"/>
      <c r="J3" s="91"/>
    </row>
    <row r="4" spans="1:10">
      <c r="A4" s="46" t="s">
        <v>291</v>
      </c>
      <c r="B4" s="46"/>
      <c r="C4" s="47"/>
      <c r="D4" s="47"/>
      <c r="E4" s="47"/>
      <c r="F4" s="87"/>
      <c r="G4" s="87"/>
    </row>
    <row r="5" spans="1:10" s="60" customFormat="1">
      <c r="A5" s="20" t="s">
        <v>227</v>
      </c>
      <c r="B5" s="48">
        <f>+B6+B9+B11</f>
        <v>139708253700</v>
      </c>
      <c r="C5" s="48">
        <f>+C6+C9+C11</f>
        <v>98270608600</v>
      </c>
      <c r="D5" s="48">
        <f>+D6+D9+D11</f>
        <v>0</v>
      </c>
      <c r="E5" s="48">
        <f>+E6+E9+E11</f>
        <v>95566847827.399994</v>
      </c>
      <c r="F5" s="88">
        <f>+C5-E5</f>
        <v>2703760772.6000061</v>
      </c>
      <c r="G5" s="88">
        <f>+E5/C5</f>
        <v>0.97248657751164058</v>
      </c>
      <c r="H5" s="92"/>
      <c r="I5" s="101"/>
      <c r="J5" s="92"/>
    </row>
    <row r="6" spans="1:10" s="60" customFormat="1">
      <c r="A6" s="20" t="s">
        <v>228</v>
      </c>
      <c r="B6" s="48">
        <f>+B7+B8</f>
        <v>130446397700</v>
      </c>
      <c r="C6" s="48">
        <f>+C7+C8</f>
        <v>92067223200</v>
      </c>
      <c r="D6" s="48">
        <f t="shared" ref="D6" si="0">+D7+D8</f>
        <v>0</v>
      </c>
      <c r="E6" s="48">
        <f>+E7+E8</f>
        <v>89879159756</v>
      </c>
      <c r="F6" s="88">
        <f t="shared" ref="F6:F69" si="1">+C6-E6</f>
        <v>2188063444</v>
      </c>
      <c r="G6" s="88">
        <f t="shared" ref="G6:G71" si="2">+E6/C6</f>
        <v>0.97623406715279315</v>
      </c>
      <c r="H6" s="92"/>
      <c r="I6" s="101"/>
      <c r="J6" s="92"/>
    </row>
    <row r="7" spans="1:10">
      <c r="A7" s="21" t="s">
        <v>229</v>
      </c>
      <c r="B7" s="69">
        <f>130446397700-B8</f>
        <v>126799397700</v>
      </c>
      <c r="C7" s="9">
        <v>92067223200</v>
      </c>
      <c r="D7" s="49"/>
      <c r="E7" s="54">
        <v>89879159756</v>
      </c>
      <c r="F7" s="88">
        <f t="shared" si="1"/>
        <v>2188063444</v>
      </c>
      <c r="G7" s="88">
        <f t="shared" si="2"/>
        <v>0.97623406715279315</v>
      </c>
    </row>
    <row r="8" spans="1:10">
      <c r="A8" s="21" t="s">
        <v>255</v>
      </c>
      <c r="B8" s="69">
        <v>3647000000</v>
      </c>
      <c r="C8" s="49"/>
      <c r="D8" s="49"/>
      <c r="E8" s="54"/>
      <c r="F8" s="88">
        <f t="shared" si="1"/>
        <v>0</v>
      </c>
      <c r="G8" s="88"/>
    </row>
    <row r="9" spans="1:10" s="60" customFormat="1">
      <c r="A9" s="20" t="s">
        <v>230</v>
      </c>
      <c r="B9" s="48">
        <f>+B10</f>
        <v>120820000</v>
      </c>
      <c r="C9" s="48">
        <f>+C10</f>
        <v>80666400.000000015</v>
      </c>
      <c r="D9" s="48">
        <f>+D10</f>
        <v>0</v>
      </c>
      <c r="E9" s="48">
        <f>+E10</f>
        <v>63320000</v>
      </c>
      <c r="F9" s="88">
        <f t="shared" si="1"/>
        <v>17346400.000000015</v>
      </c>
      <c r="G9" s="88">
        <f t="shared" si="2"/>
        <v>0.78496127259924808</v>
      </c>
      <c r="H9" s="92"/>
      <c r="I9" s="101"/>
      <c r="J9" s="92"/>
    </row>
    <row r="10" spans="1:10">
      <c r="A10" s="21" t="s">
        <v>231</v>
      </c>
      <c r="B10" s="69">
        <v>120820000</v>
      </c>
      <c r="C10" s="9">
        <v>80666400.000000015</v>
      </c>
      <c r="D10" s="49"/>
      <c r="E10" s="54">
        <f>56320000+7000000</f>
        <v>63320000</v>
      </c>
      <c r="F10" s="88">
        <f t="shared" si="1"/>
        <v>17346400.000000015</v>
      </c>
      <c r="G10" s="88">
        <f t="shared" si="2"/>
        <v>0.78496127259924808</v>
      </c>
    </row>
    <row r="11" spans="1:10">
      <c r="A11" s="20" t="s">
        <v>232</v>
      </c>
      <c r="B11" s="48">
        <f>+B12+B13+B15</f>
        <v>9141036000</v>
      </c>
      <c r="C11" s="48">
        <f>+C12+C13+C15</f>
        <v>6122719000.000001</v>
      </c>
      <c r="D11" s="48">
        <f>+D12+D13+D15</f>
        <v>0</v>
      </c>
      <c r="E11" s="48">
        <f>+E12+E13+E15+E14</f>
        <v>5624368071.3999996</v>
      </c>
      <c r="F11" s="88">
        <f t="shared" si="1"/>
        <v>498350928.60000134</v>
      </c>
      <c r="G11" s="88">
        <f t="shared" si="2"/>
        <v>0.91860627139674367</v>
      </c>
    </row>
    <row r="12" spans="1:10">
      <c r="A12" s="21" t="s">
        <v>233</v>
      </c>
      <c r="B12" s="69">
        <v>8254348800</v>
      </c>
      <c r="C12" s="9">
        <v>5602935800.000001</v>
      </c>
      <c r="D12" s="49"/>
      <c r="E12" s="54">
        <f>4568111680.72+538567908</f>
        <v>5106679588.7200003</v>
      </c>
      <c r="F12" s="88">
        <f t="shared" si="1"/>
        <v>496256211.28000069</v>
      </c>
      <c r="G12" s="88">
        <f t="shared" si="2"/>
        <v>0.91142925262859509</v>
      </c>
      <c r="H12" s="90">
        <v>3914406726.7199998</v>
      </c>
      <c r="I12" s="42">
        <f>+E12-H12</f>
        <v>1192272862.0000005</v>
      </c>
    </row>
    <row r="13" spans="1:10">
      <c r="A13" s="21" t="s">
        <v>234</v>
      </c>
      <c r="B13" s="69">
        <v>886687200</v>
      </c>
      <c r="C13" s="9">
        <v>519783200</v>
      </c>
      <c r="D13" s="49"/>
      <c r="E13" s="54">
        <f>417307909.84+69901840.11</f>
        <v>487209749.94999999</v>
      </c>
      <c r="F13" s="88">
        <f t="shared" si="1"/>
        <v>32573450.050000012</v>
      </c>
      <c r="G13" s="88">
        <f t="shared" si="2"/>
        <v>0.93733262242796611</v>
      </c>
      <c r="H13" s="90">
        <v>404977610.94</v>
      </c>
      <c r="I13" s="42">
        <f>+E13-H13</f>
        <v>82232139.00999999</v>
      </c>
    </row>
    <row r="14" spans="1:10">
      <c r="A14" s="21" t="s">
        <v>292</v>
      </c>
      <c r="B14" s="69"/>
      <c r="C14" s="9"/>
      <c r="D14" s="49"/>
      <c r="E14" s="54">
        <f>-803084+803084</f>
        <v>0</v>
      </c>
      <c r="F14" s="88"/>
      <c r="G14" s="88"/>
      <c r="I14" s="42">
        <f>+E14-H14</f>
        <v>0</v>
      </c>
    </row>
    <row r="15" spans="1:10">
      <c r="A15" s="21" t="s">
        <v>242</v>
      </c>
      <c r="B15" s="21"/>
      <c r="C15" s="49"/>
      <c r="D15" s="49"/>
      <c r="E15" s="54">
        <f>-2186601+32665333.73</f>
        <v>30478732.73</v>
      </c>
      <c r="F15" s="88">
        <f t="shared" si="1"/>
        <v>-30478732.73</v>
      </c>
      <c r="G15" s="88"/>
      <c r="H15" s="90">
        <v>1416366.9</v>
      </c>
      <c r="I15" s="42">
        <f>+E15-H15</f>
        <v>29062365.830000002</v>
      </c>
    </row>
    <row r="16" spans="1:10" s="60" customFormat="1">
      <c r="A16" s="50" t="s">
        <v>0</v>
      </c>
      <c r="B16" s="48" t="e">
        <f t="shared" ref="B16:F17" si="3">+B17</f>
        <v>#REF!</v>
      </c>
      <c r="C16" s="48">
        <f t="shared" si="3"/>
        <v>98270608600</v>
      </c>
      <c r="D16" s="48">
        <f t="shared" si="3"/>
        <v>83804312674.610001</v>
      </c>
      <c r="E16" s="48">
        <f t="shared" si="3"/>
        <v>93283132551.759995</v>
      </c>
      <c r="F16" s="48">
        <f t="shared" si="3"/>
        <v>4987476048.2399969</v>
      </c>
      <c r="G16" s="88">
        <f t="shared" si="2"/>
        <v>0.94924753067785517</v>
      </c>
      <c r="H16" s="92">
        <f>+C16-D16</f>
        <v>14466295925.389999</v>
      </c>
      <c r="I16" s="101"/>
      <c r="J16" s="92">
        <f>+J12+J15</f>
        <v>0</v>
      </c>
    </row>
    <row r="17" spans="1:10" s="60" customFormat="1">
      <c r="A17" s="20" t="s">
        <v>173</v>
      </c>
      <c r="B17" s="48" t="e">
        <f t="shared" si="3"/>
        <v>#REF!</v>
      </c>
      <c r="C17" s="48">
        <f t="shared" si="3"/>
        <v>98270608600</v>
      </c>
      <c r="D17" s="48">
        <f t="shared" si="3"/>
        <v>83804312674.610001</v>
      </c>
      <c r="E17" s="48">
        <f t="shared" si="3"/>
        <v>93283132551.759995</v>
      </c>
      <c r="F17" s="48">
        <f t="shared" si="3"/>
        <v>4987476048.2399969</v>
      </c>
      <c r="G17" s="88">
        <f t="shared" si="2"/>
        <v>0.94924753067785517</v>
      </c>
      <c r="H17" s="92"/>
      <c r="I17" s="101"/>
      <c r="J17" s="92"/>
    </row>
    <row r="18" spans="1:10" s="60" customFormat="1">
      <c r="A18" s="20" t="s">
        <v>174</v>
      </c>
      <c r="B18" s="48" t="e">
        <f>+B19+B67+B74</f>
        <v>#REF!</v>
      </c>
      <c r="C18" s="48">
        <f>+C19+C67+C74</f>
        <v>98270608600</v>
      </c>
      <c r="D18" s="48">
        <f t="shared" ref="D18:F18" si="4">+D19+D67+D74</f>
        <v>83804312674.610001</v>
      </c>
      <c r="E18" s="48">
        <f t="shared" si="4"/>
        <v>93283132551.759995</v>
      </c>
      <c r="F18" s="48">
        <f t="shared" si="4"/>
        <v>4987476048.2399969</v>
      </c>
      <c r="G18" s="88">
        <f t="shared" si="2"/>
        <v>0.94924753067785517</v>
      </c>
      <c r="H18" s="92"/>
      <c r="I18" s="101"/>
      <c r="J18" s="92"/>
    </row>
    <row r="19" spans="1:10" s="60" customFormat="1">
      <c r="A19" s="20" t="s">
        <v>175</v>
      </c>
      <c r="B19" s="51" t="e">
        <f>+B20+B25+B31+B36+B43+B47+B52+B55+B64</f>
        <v>#REF!</v>
      </c>
      <c r="C19" s="51">
        <f>+C20+C25+C31+C36+C43+C47+C52+C55+C64</f>
        <v>94022261200</v>
      </c>
      <c r="D19" s="51">
        <f t="shared" ref="D19:F19" si="5">+D20+D25+D31+D36+D43+D47+D52+D55+D64</f>
        <v>80158463764.610001</v>
      </c>
      <c r="E19" s="51">
        <f t="shared" si="5"/>
        <v>89278282062.759995</v>
      </c>
      <c r="F19" s="51">
        <f t="shared" si="5"/>
        <v>4743979137.2399969</v>
      </c>
      <c r="G19" s="88">
        <f t="shared" si="2"/>
        <v>0.94954408587186789</v>
      </c>
      <c r="H19" s="92">
        <f>+C19-D19</f>
        <v>13863797435.389999</v>
      </c>
      <c r="I19" s="101"/>
      <c r="J19" s="92"/>
    </row>
    <row r="20" spans="1:10" s="60" customFormat="1">
      <c r="A20" s="20" t="s">
        <v>176</v>
      </c>
      <c r="B20" s="48" t="e">
        <f>+B21+B22+#REF!+B24</f>
        <v>#REF!</v>
      </c>
      <c r="C20" s="48">
        <f>+C21+C22+C24+C23</f>
        <v>69593203000</v>
      </c>
      <c r="D20" s="48">
        <f t="shared" ref="D20:G20" si="6">+D21+D22+D24+D23</f>
        <v>60553938300</v>
      </c>
      <c r="E20" s="48">
        <f t="shared" si="6"/>
        <v>68679920979.830002</v>
      </c>
      <c r="F20" s="48">
        <f t="shared" si="6"/>
        <v>913282020.16999769</v>
      </c>
      <c r="G20" s="48">
        <f t="shared" si="6"/>
        <v>2.7206413967104979</v>
      </c>
      <c r="H20" s="92">
        <f>+C20-E20</f>
        <v>913282020.16999817</v>
      </c>
      <c r="I20" s="102">
        <f>+D20-E20</f>
        <v>-8125982679.8300018</v>
      </c>
      <c r="J20" s="92"/>
    </row>
    <row r="21" spans="1:10">
      <c r="A21" s="21" t="s">
        <v>177</v>
      </c>
      <c r="B21" s="69">
        <v>77846318800</v>
      </c>
      <c r="C21" s="114">
        <f>54993421500+371381200</f>
        <v>55364802700</v>
      </c>
      <c r="D21" s="49">
        <v>48162924100</v>
      </c>
      <c r="E21" s="54">
        <v>56774479094.830002</v>
      </c>
      <c r="F21" s="88">
        <f t="shared" si="1"/>
        <v>-1409676394.8300018</v>
      </c>
      <c r="G21" s="88">
        <f t="shared" si="2"/>
        <v>1.0254615988151983</v>
      </c>
      <c r="I21" s="42">
        <f>+D21-E21</f>
        <v>-8611554994.8300018</v>
      </c>
    </row>
    <row r="22" spans="1:10">
      <c r="A22" s="21" t="s">
        <v>178</v>
      </c>
      <c r="B22" s="69">
        <v>16581180200</v>
      </c>
      <c r="C22" s="114">
        <f>11058120900+16400900</f>
        <v>11074521800</v>
      </c>
      <c r="D22" s="49">
        <v>9675355800</v>
      </c>
      <c r="E22" s="54">
        <v>9225041627</v>
      </c>
      <c r="F22" s="88">
        <f t="shared" si="1"/>
        <v>1849480173</v>
      </c>
      <c r="G22" s="88">
        <f t="shared" si="2"/>
        <v>0.83299683666702429</v>
      </c>
      <c r="I22" s="42">
        <f t="shared" ref="I22:I73" si="7">+D22-E22</f>
        <v>450314173</v>
      </c>
    </row>
    <row r="23" spans="1:10">
      <c r="A23" s="21" t="s">
        <v>372</v>
      </c>
      <c r="B23" s="69"/>
      <c r="C23" s="114">
        <v>45025300</v>
      </c>
      <c r="D23" s="49"/>
      <c r="E23" s="54"/>
      <c r="F23" s="88">
        <f t="shared" ref="F23" si="8">+C23-E23</f>
        <v>45025300</v>
      </c>
      <c r="G23" s="88">
        <f t="shared" ref="G23" si="9">+E23/C23</f>
        <v>0</v>
      </c>
      <c r="I23" s="42">
        <f t="shared" si="7"/>
        <v>0</v>
      </c>
    </row>
    <row r="24" spans="1:10">
      <c r="A24" s="21" t="s">
        <v>179</v>
      </c>
      <c r="B24" s="69">
        <v>6162714300</v>
      </c>
      <c r="C24" s="114">
        <v>3108853199.9999995</v>
      </c>
      <c r="D24" s="49">
        <v>2715658400</v>
      </c>
      <c r="E24" s="54">
        <v>2680400258</v>
      </c>
      <c r="F24" s="88">
        <f t="shared" si="1"/>
        <v>428452941.99999952</v>
      </c>
      <c r="G24" s="88">
        <f t="shared" si="2"/>
        <v>0.86218296122827554</v>
      </c>
      <c r="I24" s="42">
        <f t="shared" si="7"/>
        <v>35258142</v>
      </c>
    </row>
    <row r="25" spans="1:10" s="60" customFormat="1" ht="26.25">
      <c r="A25" s="20" t="s">
        <v>180</v>
      </c>
      <c r="B25" s="48">
        <f>+B26+B27+B28+B29+B30</f>
        <v>2810755500</v>
      </c>
      <c r="C25" s="115">
        <f>+C26+C27+C28+C29+C30</f>
        <v>1947604900</v>
      </c>
      <c r="D25" s="48">
        <f t="shared" ref="D25:F25" si="10">+D26+D27+D28+D29+D30</f>
        <v>1690239400</v>
      </c>
      <c r="E25" s="48">
        <f>+E26+E27+E28+E29+E30</f>
        <v>1814979528.47</v>
      </c>
      <c r="F25" s="48">
        <f t="shared" si="10"/>
        <v>132625371.52999997</v>
      </c>
      <c r="G25" s="88">
        <f t="shared" si="2"/>
        <v>0.93190334881063408</v>
      </c>
      <c r="H25" s="92">
        <f>+C25-D25</f>
        <v>257365500</v>
      </c>
      <c r="I25" s="102">
        <f t="shared" si="7"/>
        <v>-124740128.47000003</v>
      </c>
      <c r="J25" s="92"/>
    </row>
    <row r="26" spans="1:10">
      <c r="A26" s="21" t="s">
        <v>181</v>
      </c>
      <c r="B26" s="69">
        <v>175591500</v>
      </c>
      <c r="C26" s="114">
        <v>117064000</v>
      </c>
      <c r="D26" s="49"/>
      <c r="E26" s="54"/>
      <c r="F26" s="88">
        <f t="shared" si="1"/>
        <v>117064000</v>
      </c>
      <c r="G26" s="88">
        <f t="shared" si="2"/>
        <v>0</v>
      </c>
      <c r="I26" s="42">
        <f t="shared" si="7"/>
        <v>0</v>
      </c>
    </row>
    <row r="27" spans="1:10">
      <c r="A27" s="21" t="s">
        <v>182</v>
      </c>
      <c r="B27" s="69">
        <v>19561600</v>
      </c>
      <c r="C27" s="114">
        <v>12984000</v>
      </c>
      <c r="D27" s="49"/>
      <c r="E27" s="54"/>
      <c r="F27" s="88">
        <f t="shared" si="1"/>
        <v>12984000</v>
      </c>
      <c r="G27" s="88">
        <f t="shared" si="2"/>
        <v>0</v>
      </c>
      <c r="I27" s="42">
        <f t="shared" si="7"/>
        <v>0</v>
      </c>
    </row>
    <row r="28" spans="1:10">
      <c r="A28" s="21" t="s">
        <v>183</v>
      </c>
      <c r="B28" s="69">
        <v>24472200</v>
      </c>
      <c r="C28" s="114">
        <v>16320000</v>
      </c>
      <c r="D28" s="49"/>
      <c r="E28" s="54"/>
      <c r="F28" s="88">
        <f t="shared" si="1"/>
        <v>16320000</v>
      </c>
      <c r="G28" s="88">
        <f t="shared" si="2"/>
        <v>0</v>
      </c>
      <c r="I28" s="42">
        <f t="shared" si="7"/>
        <v>0</v>
      </c>
    </row>
    <row r="29" spans="1:10">
      <c r="A29" s="21" t="s">
        <v>184</v>
      </c>
      <c r="B29" s="69">
        <v>4890300</v>
      </c>
      <c r="C29" s="114">
        <v>3184000</v>
      </c>
      <c r="D29" s="49"/>
      <c r="E29" s="54"/>
      <c r="F29" s="88">
        <f t="shared" si="1"/>
        <v>3184000</v>
      </c>
      <c r="G29" s="88">
        <f t="shared" si="2"/>
        <v>0</v>
      </c>
      <c r="I29" s="42">
        <f t="shared" si="7"/>
        <v>0</v>
      </c>
    </row>
    <row r="30" spans="1:10">
      <c r="A30" s="21" t="s">
        <v>185</v>
      </c>
      <c r="B30" s="69">
        <v>2586239900</v>
      </c>
      <c r="C30" s="114">
        <f>1782378800+15674100</f>
        <v>1798052900</v>
      </c>
      <c r="D30" s="49">
        <v>1690239400</v>
      </c>
      <c r="E30" s="54">
        <v>1814979528.47</v>
      </c>
      <c r="F30" s="88">
        <f t="shared" si="1"/>
        <v>-16926628.470000029</v>
      </c>
      <c r="G30" s="88">
        <f t="shared" si="2"/>
        <v>1.0094138656710268</v>
      </c>
      <c r="I30" s="42">
        <f t="shared" si="7"/>
        <v>-124740128.47000003</v>
      </c>
    </row>
    <row r="31" spans="1:10" s="60" customFormat="1">
      <c r="A31" s="20" t="s">
        <v>186</v>
      </c>
      <c r="B31" s="48">
        <f>+B32+B33+B34+B35</f>
        <v>4492990200</v>
      </c>
      <c r="C31" s="48">
        <f>+C32+C33+C34+C35</f>
        <v>2669833200</v>
      </c>
      <c r="D31" s="48">
        <f t="shared" ref="D31:F31" si="11">+D32+D33+D34+D35</f>
        <v>2525363100</v>
      </c>
      <c r="E31" s="48">
        <f>+E32+E33+E34+E35</f>
        <v>2405201848.0100002</v>
      </c>
      <c r="F31" s="48">
        <f t="shared" si="11"/>
        <v>264631351.98999998</v>
      </c>
      <c r="G31" s="88">
        <f t="shared" si="2"/>
        <v>0.90088094192925616</v>
      </c>
      <c r="H31" s="92">
        <f>+C31-D31</f>
        <v>144470100</v>
      </c>
      <c r="I31" s="102">
        <f>+D31-E31</f>
        <v>120161251.98999977</v>
      </c>
      <c r="J31" s="92"/>
    </row>
    <row r="32" spans="1:10">
      <c r="A32" s="21" t="s">
        <v>187</v>
      </c>
      <c r="B32" s="69">
        <v>1290959200</v>
      </c>
      <c r="C32" s="9">
        <f>804692700+6078400</f>
        <v>810771100</v>
      </c>
      <c r="D32" s="49">
        <v>713774100</v>
      </c>
      <c r="E32" s="54">
        <v>784156197.33000004</v>
      </c>
      <c r="F32" s="88">
        <f t="shared" si="1"/>
        <v>26614902.669999957</v>
      </c>
      <c r="G32" s="88">
        <f t="shared" si="2"/>
        <v>0.96717334563355806</v>
      </c>
      <c r="H32" s="92"/>
      <c r="I32" s="42">
        <f t="shared" si="7"/>
        <v>-70382097.330000043</v>
      </c>
    </row>
    <row r="33" spans="1:10">
      <c r="A33" s="21" t="s">
        <v>188</v>
      </c>
      <c r="B33" s="69">
        <v>2738674800</v>
      </c>
      <c r="C33" s="9">
        <f>1548510600+6740200</f>
        <v>1555250800</v>
      </c>
      <c r="D33" s="49">
        <v>1552010600</v>
      </c>
      <c r="E33" s="54">
        <v>1395488009.26</v>
      </c>
      <c r="F33" s="88">
        <f t="shared" si="1"/>
        <v>159762790.74000001</v>
      </c>
      <c r="G33" s="88">
        <f t="shared" si="2"/>
        <v>0.89727522355879841</v>
      </c>
      <c r="H33" s="92"/>
      <c r="I33" s="42">
        <f t="shared" si="7"/>
        <v>156522590.74000001</v>
      </c>
    </row>
    <row r="34" spans="1:10">
      <c r="A34" s="21" t="s">
        <v>189</v>
      </c>
      <c r="B34" s="69">
        <v>384126200</v>
      </c>
      <c r="C34" s="9">
        <f>251693800+3955300</f>
        <v>255649100</v>
      </c>
      <c r="D34" s="49">
        <v>222228400</v>
      </c>
      <c r="E34" s="54">
        <v>197922768.09999999</v>
      </c>
      <c r="F34" s="88">
        <f t="shared" si="1"/>
        <v>57726331.900000006</v>
      </c>
      <c r="G34" s="88">
        <f t="shared" si="2"/>
        <v>0.77419700714768791</v>
      </c>
      <c r="H34" s="92"/>
      <c r="I34" s="42">
        <f t="shared" si="7"/>
        <v>24305631.900000006</v>
      </c>
    </row>
    <row r="35" spans="1:10">
      <c r="A35" s="21" t="s">
        <v>190</v>
      </c>
      <c r="B35" s="69">
        <v>79230000</v>
      </c>
      <c r="C35" s="94">
        <f>37800000+10362200</f>
        <v>48162200</v>
      </c>
      <c r="D35" s="49">
        <v>37350000</v>
      </c>
      <c r="E35" s="54">
        <v>27634873.32</v>
      </c>
      <c r="F35" s="88">
        <f t="shared" si="1"/>
        <v>20527326.68</v>
      </c>
      <c r="G35" s="88">
        <f t="shared" si="2"/>
        <v>0.57378760355631597</v>
      </c>
      <c r="H35" s="92"/>
      <c r="I35" s="42">
        <f t="shared" si="7"/>
        <v>9715126.6799999997</v>
      </c>
    </row>
    <row r="36" spans="1:10" s="60" customFormat="1">
      <c r="A36" s="20" t="s">
        <v>191</v>
      </c>
      <c r="B36" s="48" t="e">
        <f>+B37+B38+B39+#REF!+B42</f>
        <v>#REF!</v>
      </c>
      <c r="C36" s="48">
        <f>+C37+C38+C39+C42+C41+C40</f>
        <v>4279897000</v>
      </c>
      <c r="D36" s="48">
        <f t="shared" ref="D36:F36" si="12">+D37+D38+D39+D42+D41+D40</f>
        <v>3749073600</v>
      </c>
      <c r="E36" s="48">
        <f>+E37+E38+E39+E42+E41+E40</f>
        <v>4151090736.9899998</v>
      </c>
      <c r="F36" s="48">
        <f t="shared" si="12"/>
        <v>128806263.00999999</v>
      </c>
      <c r="G36" s="88">
        <f t="shared" si="2"/>
        <v>0.9699043544716146</v>
      </c>
      <c r="H36" s="92">
        <f t="shared" ref="H36:H73" si="13">+C36-D36</f>
        <v>530823400</v>
      </c>
      <c r="I36" s="102">
        <f t="shared" si="7"/>
        <v>-402017136.98999977</v>
      </c>
      <c r="J36" s="92"/>
    </row>
    <row r="37" spans="1:10">
      <c r="A37" s="21" t="s">
        <v>192</v>
      </c>
      <c r="B37" s="69">
        <v>712066400</v>
      </c>
      <c r="C37" s="9">
        <v>455587800</v>
      </c>
      <c r="D37" s="49">
        <v>406645900</v>
      </c>
      <c r="E37" s="54">
        <v>468027541</v>
      </c>
      <c r="F37" s="88">
        <f t="shared" si="1"/>
        <v>-12439741</v>
      </c>
      <c r="G37" s="88">
        <f t="shared" si="2"/>
        <v>1.0273048158883973</v>
      </c>
      <c r="H37" s="92"/>
      <c r="I37" s="42">
        <f t="shared" si="7"/>
        <v>-61381641</v>
      </c>
    </row>
    <row r="38" spans="1:10">
      <c r="A38" s="21" t="s">
        <v>193</v>
      </c>
      <c r="B38" s="69">
        <v>4817178100</v>
      </c>
      <c r="C38" s="9">
        <v>3344465300</v>
      </c>
      <c r="D38" s="49">
        <v>2915801900</v>
      </c>
      <c r="E38" s="54">
        <v>3247884263</v>
      </c>
      <c r="F38" s="88">
        <f t="shared" si="1"/>
        <v>96581037</v>
      </c>
      <c r="G38" s="88">
        <f t="shared" si="2"/>
        <v>0.97112212914871621</v>
      </c>
      <c r="H38" s="92"/>
      <c r="I38" s="42">
        <f t="shared" si="7"/>
        <v>-332082363</v>
      </c>
    </row>
    <row r="39" spans="1:10">
      <c r="A39" s="21" t="s">
        <v>194</v>
      </c>
      <c r="B39" s="69">
        <v>436726800</v>
      </c>
      <c r="C39" s="9">
        <v>342329300</v>
      </c>
      <c r="D39" s="49">
        <v>289746400</v>
      </c>
      <c r="E39" s="54">
        <v>285518166.99000001</v>
      </c>
      <c r="F39" s="88">
        <f t="shared" si="1"/>
        <v>56811133.00999999</v>
      </c>
      <c r="G39" s="88">
        <f t="shared" si="2"/>
        <v>0.83404536798340079</v>
      </c>
      <c r="H39" s="92"/>
      <c r="I39" s="42">
        <f t="shared" si="7"/>
        <v>4228233.0099999905</v>
      </c>
    </row>
    <row r="40" spans="1:10">
      <c r="A40" s="21" t="s">
        <v>301</v>
      </c>
      <c r="B40" s="69"/>
      <c r="C40" s="9">
        <v>19000000</v>
      </c>
      <c r="D40" s="49">
        <v>26639740</v>
      </c>
      <c r="E40" s="54">
        <v>26789740</v>
      </c>
      <c r="F40" s="88">
        <f t="shared" si="1"/>
        <v>-7789740</v>
      </c>
      <c r="G40" s="88">
        <f t="shared" si="2"/>
        <v>1.4099863157894736</v>
      </c>
      <c r="H40" s="92"/>
      <c r="I40" s="42">
        <f t="shared" si="7"/>
        <v>-150000</v>
      </c>
    </row>
    <row r="41" spans="1:10">
      <c r="A41" s="21" t="s">
        <v>297</v>
      </c>
      <c r="B41" s="69"/>
      <c r="C41" s="9">
        <v>746300</v>
      </c>
      <c r="D41" s="49">
        <v>757560</v>
      </c>
      <c r="E41" s="54">
        <v>757560</v>
      </c>
      <c r="F41" s="88">
        <f t="shared" si="1"/>
        <v>-11260</v>
      </c>
      <c r="G41" s="88">
        <f t="shared" si="2"/>
        <v>1.0150877663138149</v>
      </c>
      <c r="H41" s="92"/>
      <c r="I41" s="42">
        <f t="shared" si="7"/>
        <v>0</v>
      </c>
    </row>
    <row r="42" spans="1:10">
      <c r="A42" s="21" t="s">
        <v>195</v>
      </c>
      <c r="B42" s="69">
        <v>167945300</v>
      </c>
      <c r="C42" s="9">
        <v>117768300</v>
      </c>
      <c r="D42" s="49">
        <v>109482100</v>
      </c>
      <c r="E42" s="54">
        <v>122113466</v>
      </c>
      <c r="F42" s="88">
        <f t="shared" si="1"/>
        <v>-4345166</v>
      </c>
      <c r="G42" s="88">
        <f t="shared" si="2"/>
        <v>1.0368958879426806</v>
      </c>
      <c r="H42" s="92"/>
      <c r="I42" s="42">
        <f t="shared" si="7"/>
        <v>-12631366</v>
      </c>
    </row>
    <row r="43" spans="1:10" s="60" customFormat="1">
      <c r="A43" s="20" t="s">
        <v>196</v>
      </c>
      <c r="B43" s="48">
        <f>+B44+B45+B46</f>
        <v>6469349600</v>
      </c>
      <c r="C43" s="48">
        <f>+C44+C45+C46</f>
        <v>4280742900</v>
      </c>
      <c r="D43" s="48">
        <f t="shared" ref="D43:F43" si="14">+D44+D45+D46</f>
        <v>3800528500</v>
      </c>
      <c r="E43" s="48">
        <f>+E44+E45+E46</f>
        <v>3977848630.6900001</v>
      </c>
      <c r="F43" s="48">
        <f t="shared" si="14"/>
        <v>302894269.3100003</v>
      </c>
      <c r="G43" s="88">
        <f t="shared" si="2"/>
        <v>0.92924259260933428</v>
      </c>
      <c r="H43" s="92">
        <f t="shared" si="13"/>
        <v>480214400</v>
      </c>
      <c r="I43" s="102">
        <f t="shared" si="7"/>
        <v>-177320130.69000006</v>
      </c>
      <c r="J43" s="92"/>
    </row>
    <row r="44" spans="1:10">
      <c r="A44" s="21" t="s">
        <v>197</v>
      </c>
      <c r="B44" s="69">
        <v>21003700</v>
      </c>
      <c r="C44" s="9">
        <v>21403700</v>
      </c>
      <c r="D44" s="49">
        <v>14363000</v>
      </c>
      <c r="E44" s="54">
        <v>18303199</v>
      </c>
      <c r="F44" s="88">
        <f t="shared" si="1"/>
        <v>3100501</v>
      </c>
      <c r="G44" s="88">
        <f t="shared" si="2"/>
        <v>0.85514182127389193</v>
      </c>
      <c r="H44" s="92"/>
      <c r="I44" s="42">
        <f t="shared" si="7"/>
        <v>-3940199</v>
      </c>
    </row>
    <row r="45" spans="1:10">
      <c r="A45" s="21" t="s">
        <v>198</v>
      </c>
      <c r="B45" s="69">
        <v>1842425800</v>
      </c>
      <c r="C45" s="9">
        <v>1161482299.9999998</v>
      </c>
      <c r="D45" s="49">
        <v>1069191800</v>
      </c>
      <c r="E45" s="54">
        <v>999266336.14999998</v>
      </c>
      <c r="F45" s="88">
        <f t="shared" si="1"/>
        <v>162215963.84999979</v>
      </c>
      <c r="G45" s="88">
        <f t="shared" si="2"/>
        <v>0.86033711934310164</v>
      </c>
      <c r="H45" s="92"/>
      <c r="I45" s="42">
        <f t="shared" si="7"/>
        <v>69925463.850000024</v>
      </c>
    </row>
    <row r="46" spans="1:10">
      <c r="A46" s="21" t="s">
        <v>199</v>
      </c>
      <c r="B46" s="69">
        <v>4605920100</v>
      </c>
      <c r="C46" s="9">
        <v>3097856900.0000005</v>
      </c>
      <c r="D46" s="49">
        <v>2716973700</v>
      </c>
      <c r="E46" s="54">
        <v>2960279095.54</v>
      </c>
      <c r="F46" s="88">
        <f t="shared" si="1"/>
        <v>137577804.46000051</v>
      </c>
      <c r="G46" s="88">
        <f t="shared" si="2"/>
        <v>0.95558936099985747</v>
      </c>
      <c r="H46" s="92"/>
      <c r="I46" s="42">
        <f t="shared" si="7"/>
        <v>-243305395.53999996</v>
      </c>
    </row>
    <row r="47" spans="1:10" s="60" customFormat="1">
      <c r="A47" s="20" t="s">
        <v>200</v>
      </c>
      <c r="B47" s="48" t="e">
        <f>+B48+#REF!+B50+B51</f>
        <v>#REF!</v>
      </c>
      <c r="C47" s="48">
        <f t="shared" ref="C47" si="15">+C48+C49+C50+C51</f>
        <v>1540285900</v>
      </c>
      <c r="D47" s="48">
        <f t="shared" ref="D47" si="16">+D48+D49+D50+D51</f>
        <v>1287108500</v>
      </c>
      <c r="E47" s="48">
        <f>+E48+E49+E50+E51</f>
        <v>1290447476.8</v>
      </c>
      <c r="F47" s="48">
        <f t="shared" ref="F47" si="17">+F48+F49+F50+F51</f>
        <v>249838423.19999999</v>
      </c>
      <c r="G47" s="88">
        <f t="shared" si="2"/>
        <v>0.83779737047518255</v>
      </c>
      <c r="H47" s="92">
        <f t="shared" si="13"/>
        <v>253177400</v>
      </c>
      <c r="I47" s="102">
        <f t="shared" si="7"/>
        <v>-3338976.7999999523</v>
      </c>
      <c r="J47" s="92"/>
    </row>
    <row r="48" spans="1:10">
      <c r="A48" s="21" t="s">
        <v>201</v>
      </c>
      <c r="B48" s="69">
        <v>926010800</v>
      </c>
      <c r="C48" s="9">
        <v>551740100</v>
      </c>
      <c r="D48" s="49">
        <v>453842900</v>
      </c>
      <c r="E48" s="54">
        <v>388361575.56</v>
      </c>
      <c r="F48" s="88">
        <f t="shared" si="1"/>
        <v>163378524.44</v>
      </c>
      <c r="G48" s="88">
        <f t="shared" si="2"/>
        <v>0.70388499142984173</v>
      </c>
      <c r="H48" s="92"/>
      <c r="I48" s="42">
        <f t="shared" si="7"/>
        <v>65481324.439999998</v>
      </c>
    </row>
    <row r="49" spans="1:10">
      <c r="A49" s="21" t="s">
        <v>299</v>
      </c>
      <c r="B49" s="69"/>
      <c r="C49" s="9">
        <v>10445800</v>
      </c>
      <c r="D49" s="49">
        <v>9958000</v>
      </c>
      <c r="E49" s="54">
        <v>9958000</v>
      </c>
      <c r="F49" s="88">
        <f t="shared" si="1"/>
        <v>487800</v>
      </c>
      <c r="G49" s="88">
        <f t="shared" si="2"/>
        <v>0.95330180551034871</v>
      </c>
      <c r="H49" s="92"/>
      <c r="I49" s="42">
        <f t="shared" si="7"/>
        <v>0</v>
      </c>
    </row>
    <row r="50" spans="1:10">
      <c r="A50" s="21" t="s">
        <v>202</v>
      </c>
      <c r="B50" s="69">
        <v>175741900</v>
      </c>
      <c r="C50" s="9">
        <v>110874200</v>
      </c>
      <c r="D50" s="49">
        <v>99653800</v>
      </c>
      <c r="E50" s="54">
        <v>47345289</v>
      </c>
      <c r="F50" s="88">
        <f t="shared" si="1"/>
        <v>63528911</v>
      </c>
      <c r="G50" s="88">
        <f t="shared" si="2"/>
        <v>0.42701808896930032</v>
      </c>
      <c r="H50" s="92"/>
      <c r="I50" s="42">
        <f t="shared" si="7"/>
        <v>52308511</v>
      </c>
    </row>
    <row r="51" spans="1:10">
      <c r="A51" s="21" t="s">
        <v>203</v>
      </c>
      <c r="B51" s="69">
        <v>957546900</v>
      </c>
      <c r="C51" s="9">
        <v>867225800</v>
      </c>
      <c r="D51" s="49">
        <v>723653800</v>
      </c>
      <c r="E51" s="54">
        <v>844782612.24000001</v>
      </c>
      <c r="F51" s="88">
        <f t="shared" si="1"/>
        <v>22443187.75999999</v>
      </c>
      <c r="G51" s="88">
        <f t="shared" si="2"/>
        <v>0.97412071024639724</v>
      </c>
      <c r="H51" s="92"/>
      <c r="I51" s="42">
        <f t="shared" si="7"/>
        <v>-121128812.24000001</v>
      </c>
    </row>
    <row r="52" spans="1:10" s="60" customFormat="1">
      <c r="A52" s="20" t="s">
        <v>204</v>
      </c>
      <c r="B52" s="48" t="e">
        <f>+#REF!+B53+#REF!</f>
        <v>#REF!</v>
      </c>
      <c r="C52" s="48">
        <f>C53+C54</f>
        <v>474227900</v>
      </c>
      <c r="D52" s="48">
        <f t="shared" ref="D52:F52" si="18">D53+D54</f>
        <v>271450000</v>
      </c>
      <c r="E52" s="48">
        <f>E53+E54</f>
        <v>402303096.17000002</v>
      </c>
      <c r="F52" s="48">
        <f t="shared" si="18"/>
        <v>71924803.829999998</v>
      </c>
      <c r="G52" s="88">
        <f t="shared" si="2"/>
        <v>0.84833282936326604</v>
      </c>
      <c r="H52" s="92">
        <f t="shared" si="13"/>
        <v>202777900</v>
      </c>
      <c r="I52" s="102">
        <f t="shared" si="7"/>
        <v>-130853096.17000002</v>
      </c>
      <c r="J52" s="92"/>
    </row>
    <row r="53" spans="1:10">
      <c r="A53" s="21" t="s">
        <v>205</v>
      </c>
      <c r="B53" s="69">
        <v>633444900</v>
      </c>
      <c r="C53" s="9">
        <v>342627900</v>
      </c>
      <c r="D53" s="49">
        <v>271318400</v>
      </c>
      <c r="E53" s="54">
        <v>271083922.5</v>
      </c>
      <c r="F53" s="88">
        <f t="shared" si="1"/>
        <v>71543977.5</v>
      </c>
      <c r="G53" s="88">
        <f t="shared" si="2"/>
        <v>0.79119045033985846</v>
      </c>
      <c r="H53" s="92"/>
      <c r="I53" s="42">
        <f t="shared" si="7"/>
        <v>234477.5</v>
      </c>
    </row>
    <row r="54" spans="1:10">
      <c r="A54" s="21" t="s">
        <v>300</v>
      </c>
      <c r="B54" s="69"/>
      <c r="C54" s="9">
        <v>131600000</v>
      </c>
      <c r="D54" s="49">
        <v>131600</v>
      </c>
      <c r="E54" s="54">
        <v>131219173.67</v>
      </c>
      <c r="F54" s="88">
        <f t="shared" si="1"/>
        <v>380826.32999999821</v>
      </c>
      <c r="G54" s="88">
        <f t="shared" si="2"/>
        <v>0.99710618290273556</v>
      </c>
      <c r="H54" s="92"/>
      <c r="I54" s="42">
        <f t="shared" si="7"/>
        <v>-131087573.67</v>
      </c>
    </row>
    <row r="55" spans="1:10" s="60" customFormat="1" ht="26.25">
      <c r="A55" s="20" t="s">
        <v>206</v>
      </c>
      <c r="B55" s="48" t="e">
        <f>+B56+#REF!+B58+B59+B60+B61+B62+B63</f>
        <v>#REF!</v>
      </c>
      <c r="C55" s="48">
        <f>+C56+C58+C59+C60+C61+C62+C63+C57</f>
        <v>8838529800</v>
      </c>
      <c r="D55" s="48">
        <f t="shared" ref="D55:F55" si="19">+D56+D58+D59+D60+D61+D62+D63</f>
        <v>5895505064.6099997</v>
      </c>
      <c r="E55" s="48">
        <f>+E56+E58+E59+E60+E61+E62+E63+E57</f>
        <v>6174538459.54</v>
      </c>
      <c r="F55" s="48">
        <f t="shared" si="19"/>
        <v>2663991340.4599996</v>
      </c>
      <c r="G55" s="88">
        <f t="shared" si="2"/>
        <v>0.69859338592035969</v>
      </c>
      <c r="H55" s="92">
        <f t="shared" si="13"/>
        <v>2943024735.3900003</v>
      </c>
      <c r="I55" s="102">
        <f t="shared" si="7"/>
        <v>-279033394.93000031</v>
      </c>
      <c r="J55" s="92"/>
    </row>
    <row r="56" spans="1:10" ht="26.25">
      <c r="A56" s="21" t="s">
        <v>207</v>
      </c>
      <c r="B56" s="69">
        <v>5902896300</v>
      </c>
      <c r="C56" s="9">
        <v>7335146800</v>
      </c>
      <c r="D56" s="49">
        <v>4752095710</v>
      </c>
      <c r="E56" s="54">
        <v>5196185566.9300003</v>
      </c>
      <c r="F56" s="88">
        <f t="shared" si="1"/>
        <v>2138961233.0699997</v>
      </c>
      <c r="G56" s="88">
        <f t="shared" si="2"/>
        <v>0.7083955793400073</v>
      </c>
      <c r="H56" s="92"/>
      <c r="I56" s="42">
        <f t="shared" si="7"/>
        <v>-444089856.93000031</v>
      </c>
    </row>
    <row r="57" spans="1:10">
      <c r="A57" s="21" t="s">
        <v>303</v>
      </c>
      <c r="B57" s="69"/>
      <c r="C57" s="9">
        <v>560000</v>
      </c>
      <c r="D57" s="49"/>
      <c r="E57" s="54">
        <v>560000</v>
      </c>
      <c r="F57" s="88">
        <f t="shared" si="1"/>
        <v>0</v>
      </c>
      <c r="G57" s="88">
        <f t="shared" si="2"/>
        <v>1</v>
      </c>
      <c r="H57" s="92"/>
    </row>
    <row r="58" spans="1:10">
      <c r="A58" s="21" t="s">
        <v>208</v>
      </c>
      <c r="B58" s="69">
        <v>326458600</v>
      </c>
      <c r="C58" s="9">
        <v>347693799.99999994</v>
      </c>
      <c r="D58" s="49">
        <v>300731154.61000001</v>
      </c>
      <c r="E58" s="54">
        <v>317989212.61000001</v>
      </c>
      <c r="F58" s="88">
        <f t="shared" si="1"/>
        <v>29704587.389999926</v>
      </c>
      <c r="G58" s="88">
        <f t="shared" si="2"/>
        <v>0.91456681887914038</v>
      </c>
      <c r="H58" s="92"/>
      <c r="I58" s="42">
        <f t="shared" si="7"/>
        <v>-17258058</v>
      </c>
    </row>
    <row r="59" spans="1:10">
      <c r="A59" s="21" t="s">
        <v>209</v>
      </c>
      <c r="B59" s="69">
        <v>76648500</v>
      </c>
      <c r="C59" s="9">
        <v>78177500</v>
      </c>
      <c r="D59" s="49">
        <v>78177500</v>
      </c>
      <c r="E59" s="54">
        <v>67190257</v>
      </c>
      <c r="F59" s="88">
        <f t="shared" si="1"/>
        <v>10987243</v>
      </c>
      <c r="G59" s="88">
        <f t="shared" si="2"/>
        <v>0.85945773400275016</v>
      </c>
      <c r="H59" s="92"/>
      <c r="I59" s="42">
        <f t="shared" si="7"/>
        <v>10987243</v>
      </c>
    </row>
    <row r="60" spans="1:10">
      <c r="A60" s="21" t="s">
        <v>210</v>
      </c>
      <c r="B60" s="69">
        <v>6027000</v>
      </c>
      <c r="C60" s="9">
        <v>8461700</v>
      </c>
      <c r="D60" s="49">
        <v>7950700</v>
      </c>
      <c r="E60" s="54">
        <v>3583245</v>
      </c>
      <c r="F60" s="88">
        <f t="shared" si="1"/>
        <v>4878455</v>
      </c>
      <c r="G60" s="88">
        <f t="shared" si="2"/>
        <v>0.42346632473380053</v>
      </c>
      <c r="H60" s="92"/>
      <c r="I60" s="42">
        <f t="shared" si="7"/>
        <v>4367455</v>
      </c>
    </row>
    <row r="61" spans="1:10">
      <c r="A61" s="21" t="s">
        <v>211</v>
      </c>
      <c r="B61" s="69">
        <v>70440200</v>
      </c>
      <c r="C61" s="9">
        <v>46960000</v>
      </c>
      <c r="D61" s="49">
        <v>35220000</v>
      </c>
      <c r="E61" s="54">
        <v>29399896</v>
      </c>
      <c r="F61" s="88">
        <f t="shared" si="1"/>
        <v>17560104</v>
      </c>
      <c r="G61" s="88">
        <f t="shared" si="2"/>
        <v>0.62606252129471895</v>
      </c>
      <c r="H61" s="92"/>
      <c r="I61" s="42">
        <f t="shared" si="7"/>
        <v>5820104</v>
      </c>
    </row>
    <row r="62" spans="1:10">
      <c r="A62" s="21" t="s">
        <v>212</v>
      </c>
      <c r="B62" s="69">
        <v>44744700</v>
      </c>
      <c r="C62" s="9">
        <v>21530000</v>
      </c>
      <c r="D62" s="49">
        <v>21330000</v>
      </c>
      <c r="E62" s="54">
        <v>16149985</v>
      </c>
      <c r="F62" s="88">
        <f t="shared" si="1"/>
        <v>5380015</v>
      </c>
      <c r="G62" s="88">
        <f t="shared" si="2"/>
        <v>0.75011542034370648</v>
      </c>
      <c r="H62" s="92"/>
      <c r="I62" s="42">
        <f t="shared" si="7"/>
        <v>5180015</v>
      </c>
    </row>
    <row r="63" spans="1:10">
      <c r="A63" s="21" t="s">
        <v>213</v>
      </c>
      <c r="B63" s="69">
        <v>1265000000</v>
      </c>
      <c r="C63" s="9">
        <v>1000000000</v>
      </c>
      <c r="D63" s="49">
        <v>700000000</v>
      </c>
      <c r="E63" s="54">
        <v>543480297</v>
      </c>
      <c r="F63" s="88">
        <f t="shared" si="1"/>
        <v>456519703</v>
      </c>
      <c r="G63" s="88">
        <f t="shared" si="2"/>
        <v>0.543480297</v>
      </c>
      <c r="H63" s="92"/>
      <c r="I63" s="42">
        <f t="shared" si="7"/>
        <v>156519703</v>
      </c>
    </row>
    <row r="64" spans="1:10" s="60" customFormat="1">
      <c r="A64" s="20" t="s">
        <v>214</v>
      </c>
      <c r="B64" s="48">
        <f>+B65+B66</f>
        <v>426431100</v>
      </c>
      <c r="C64" s="48">
        <f>+C65+C66</f>
        <v>397936600</v>
      </c>
      <c r="D64" s="48">
        <f t="shared" ref="D64:F64" si="20">+D65+D66</f>
        <v>385257300</v>
      </c>
      <c r="E64" s="48">
        <f>+E65+E66</f>
        <v>381951306.25999999</v>
      </c>
      <c r="F64" s="48">
        <f t="shared" si="20"/>
        <v>15985293.74000001</v>
      </c>
      <c r="G64" s="88">
        <f t="shared" si="2"/>
        <v>0.95982954636492346</v>
      </c>
      <c r="H64" s="92">
        <f t="shared" si="13"/>
        <v>12679300</v>
      </c>
      <c r="I64" s="102">
        <f t="shared" si="7"/>
        <v>3305993.7400000095</v>
      </c>
      <c r="J64" s="92"/>
    </row>
    <row r="65" spans="1:10">
      <c r="A65" s="21" t="s">
        <v>215</v>
      </c>
      <c r="B65" s="69">
        <v>189384900</v>
      </c>
      <c r="C65" s="9">
        <v>245148300</v>
      </c>
      <c r="D65" s="49">
        <v>240578600</v>
      </c>
      <c r="E65" s="54">
        <v>230604891</v>
      </c>
      <c r="F65" s="88">
        <f t="shared" si="1"/>
        <v>14543409</v>
      </c>
      <c r="G65" s="88">
        <f t="shared" si="2"/>
        <v>0.94067505669017493</v>
      </c>
      <c r="H65" s="92"/>
      <c r="I65" s="42">
        <f t="shared" si="7"/>
        <v>9973709</v>
      </c>
    </row>
    <row r="66" spans="1:10">
      <c r="A66" s="21" t="s">
        <v>216</v>
      </c>
      <c r="B66" s="69">
        <v>237046200</v>
      </c>
      <c r="C66" s="9">
        <v>152788300</v>
      </c>
      <c r="D66" s="49">
        <v>144678700</v>
      </c>
      <c r="E66" s="54">
        <v>151346415.25999999</v>
      </c>
      <c r="F66" s="88">
        <f t="shared" si="1"/>
        <v>1441884.7400000095</v>
      </c>
      <c r="G66" s="88">
        <f t="shared" si="2"/>
        <v>0.99056285893618812</v>
      </c>
      <c r="H66" s="92"/>
      <c r="I66" s="42">
        <f t="shared" si="7"/>
        <v>-6667715.2599999905</v>
      </c>
    </row>
    <row r="67" spans="1:10" s="60" customFormat="1">
      <c r="A67" s="20" t="s">
        <v>217</v>
      </c>
      <c r="B67" s="48" t="e">
        <f>+B68+B70</f>
        <v>#REF!</v>
      </c>
      <c r="C67" s="48">
        <f>+C68+C70</f>
        <v>4248347400</v>
      </c>
      <c r="D67" s="48">
        <f t="shared" ref="D67:F67" si="21">+D68+D70</f>
        <v>3645848910</v>
      </c>
      <c r="E67" s="48">
        <f>+E68+E70</f>
        <v>4004850489</v>
      </c>
      <c r="F67" s="48">
        <f t="shared" si="21"/>
        <v>243496911</v>
      </c>
      <c r="G67" s="88">
        <f t="shared" si="2"/>
        <v>0.94268432214371167</v>
      </c>
      <c r="H67" s="92">
        <f t="shared" si="13"/>
        <v>602498490</v>
      </c>
      <c r="I67" s="42">
        <f t="shared" si="7"/>
        <v>-359001579</v>
      </c>
      <c r="J67" s="92"/>
    </row>
    <row r="68" spans="1:10" s="60" customFormat="1">
      <c r="A68" s="20" t="s">
        <v>218</v>
      </c>
      <c r="B68" s="48">
        <f>+B69</f>
        <v>39325000</v>
      </c>
      <c r="C68" s="48">
        <f>+C69</f>
        <v>39325000</v>
      </c>
      <c r="D68" s="48">
        <f t="shared" ref="D68:F68" si="22">+D69</f>
        <v>37208910</v>
      </c>
      <c r="E68" s="48">
        <f>+E69</f>
        <v>37208910</v>
      </c>
      <c r="F68" s="48">
        <f t="shared" si="22"/>
        <v>2116090</v>
      </c>
      <c r="G68" s="88">
        <f t="shared" si="2"/>
        <v>0.94618970120788304</v>
      </c>
      <c r="H68" s="92">
        <f t="shared" si="13"/>
        <v>2116090</v>
      </c>
      <c r="I68" s="42">
        <f t="shared" si="7"/>
        <v>0</v>
      </c>
      <c r="J68" s="92"/>
    </row>
    <row r="69" spans="1:10">
      <c r="A69" s="21" t="s">
        <v>219</v>
      </c>
      <c r="B69" s="69">
        <v>39325000</v>
      </c>
      <c r="C69" s="49">
        <v>39325000</v>
      </c>
      <c r="D69" s="49">
        <v>37208910</v>
      </c>
      <c r="E69" s="54">
        <v>37208910</v>
      </c>
      <c r="F69" s="88">
        <f t="shared" si="1"/>
        <v>2116090</v>
      </c>
      <c r="G69" s="88">
        <f t="shared" si="2"/>
        <v>0.94618970120788304</v>
      </c>
      <c r="H69" s="92">
        <f t="shared" si="13"/>
        <v>2116090</v>
      </c>
      <c r="I69" s="102">
        <f t="shared" si="7"/>
        <v>0</v>
      </c>
    </row>
    <row r="70" spans="1:10" s="60" customFormat="1">
      <c r="A70" s="20" t="s">
        <v>220</v>
      </c>
      <c r="B70" s="48" t="e">
        <f>+B71+#REF!+B72+B73+#REF!</f>
        <v>#REF!</v>
      </c>
      <c r="C70" s="48">
        <f>+C71+C72+C73</f>
        <v>4209022400</v>
      </c>
      <c r="D70" s="48">
        <f t="shared" ref="D70:F70" si="23">+D71+D72+D73</f>
        <v>3608640000</v>
      </c>
      <c r="E70" s="48">
        <f>+E71+E72+E73</f>
        <v>3967641579</v>
      </c>
      <c r="F70" s="48">
        <f t="shared" si="23"/>
        <v>241380821</v>
      </c>
      <c r="G70" s="88">
        <f t="shared" si="2"/>
        <v>0.94265157130073718</v>
      </c>
      <c r="H70" s="92">
        <f t="shared" si="13"/>
        <v>600382400</v>
      </c>
      <c r="I70" s="102">
        <f t="shared" si="7"/>
        <v>-359001579</v>
      </c>
      <c r="J70" s="92"/>
    </row>
    <row r="71" spans="1:10" ht="26.25">
      <c r="A71" s="21" t="s">
        <v>221</v>
      </c>
      <c r="B71" s="69">
        <v>246316400</v>
      </c>
      <c r="C71" s="9">
        <v>116299500</v>
      </c>
      <c r="D71" s="49">
        <v>97171100</v>
      </c>
      <c r="E71" s="54">
        <v>79921250</v>
      </c>
      <c r="F71" s="88">
        <f t="shared" ref="F71:F73" si="24">+C71-E71</f>
        <v>36378250</v>
      </c>
      <c r="G71" s="88">
        <f t="shared" si="2"/>
        <v>0.68720200860708769</v>
      </c>
      <c r="H71" s="92">
        <f t="shared" si="13"/>
        <v>19128400</v>
      </c>
      <c r="I71" s="42">
        <f t="shared" si="7"/>
        <v>17249850</v>
      </c>
    </row>
    <row r="72" spans="1:10" ht="26.25">
      <c r="A72" s="21" t="s">
        <v>222</v>
      </c>
      <c r="B72" s="69">
        <v>2419686300</v>
      </c>
      <c r="C72" s="49">
        <v>3141093900</v>
      </c>
      <c r="D72" s="49">
        <v>3141093900</v>
      </c>
      <c r="E72" s="54">
        <v>3141093900</v>
      </c>
      <c r="F72" s="88">
        <f t="shared" si="24"/>
        <v>0</v>
      </c>
      <c r="G72" s="88">
        <f t="shared" ref="G72:G73" si="25">+E72/C72</f>
        <v>1</v>
      </c>
      <c r="H72" s="92">
        <f t="shared" si="13"/>
        <v>0</v>
      </c>
      <c r="I72" s="42">
        <f t="shared" si="7"/>
        <v>0</v>
      </c>
    </row>
    <row r="73" spans="1:10" ht="26.25">
      <c r="A73" s="21" t="s">
        <v>223</v>
      </c>
      <c r="B73" s="69">
        <v>1197091700</v>
      </c>
      <c r="C73" s="49">
        <v>951629000</v>
      </c>
      <c r="D73" s="49">
        <v>370375000</v>
      </c>
      <c r="E73" s="54">
        <v>746626429</v>
      </c>
      <c r="F73" s="88">
        <f t="shared" si="24"/>
        <v>205002571</v>
      </c>
      <c r="G73" s="88">
        <f t="shared" si="25"/>
        <v>0.78457721338883113</v>
      </c>
      <c r="H73" s="92">
        <f t="shared" si="13"/>
        <v>581254000</v>
      </c>
      <c r="I73" s="42">
        <f t="shared" si="7"/>
        <v>-376251429</v>
      </c>
    </row>
    <row r="74" spans="1:10" s="60" customFormat="1">
      <c r="A74" s="20" t="s">
        <v>224</v>
      </c>
      <c r="B74" s="48">
        <f>+B75+B77</f>
        <v>3647000000</v>
      </c>
      <c r="C74" s="48">
        <f>+C75+C77</f>
        <v>0</v>
      </c>
      <c r="D74" s="48">
        <f>+D75+D77</f>
        <v>0</v>
      </c>
      <c r="E74" s="48">
        <f>+E75+E77</f>
        <v>0</v>
      </c>
      <c r="F74" s="89"/>
      <c r="G74" s="89"/>
      <c r="H74" s="92"/>
      <c r="I74" s="101"/>
      <c r="J74" s="92"/>
    </row>
    <row r="75" spans="1:10">
      <c r="A75" s="21" t="s">
        <v>225</v>
      </c>
      <c r="B75" s="69">
        <v>2000000000</v>
      </c>
      <c r="C75" s="49"/>
      <c r="D75" s="71"/>
      <c r="E75" s="54"/>
      <c r="F75" s="87"/>
      <c r="G75" s="87"/>
    </row>
    <row r="76" spans="1:10">
      <c r="A76" s="21" t="s">
        <v>294</v>
      </c>
      <c r="B76" s="69"/>
      <c r="C76" s="49"/>
      <c r="D76" s="71"/>
      <c r="E76" s="54"/>
      <c r="F76" s="87"/>
      <c r="G76" s="87"/>
    </row>
    <row r="77" spans="1:10">
      <c r="A77" s="21" t="s">
        <v>226</v>
      </c>
      <c r="B77" s="69">
        <v>1647000000</v>
      </c>
      <c r="C77" s="49"/>
      <c r="D77" s="71"/>
      <c r="E77" s="54"/>
      <c r="F77" s="87"/>
      <c r="G77" s="87"/>
    </row>
    <row r="78" spans="1:10" s="60" customFormat="1">
      <c r="A78" s="1" t="s">
        <v>305</v>
      </c>
      <c r="B78" s="1"/>
      <c r="C78" s="48"/>
      <c r="D78" s="48"/>
      <c r="E78" s="56">
        <f>+E5-E16</f>
        <v>2283715275.6399994</v>
      </c>
      <c r="F78" s="89"/>
      <c r="G78" s="89"/>
      <c r="H78" s="92"/>
      <c r="I78" s="101"/>
      <c r="J78" s="92"/>
    </row>
    <row r="79" spans="1:10" s="60" customFormat="1">
      <c r="A79" s="1" t="s">
        <v>44</v>
      </c>
      <c r="B79" s="1"/>
      <c r="C79" s="48"/>
      <c r="D79" s="48"/>
      <c r="E79" s="56">
        <f>+E78-E80</f>
        <v>2274145880.6399994</v>
      </c>
      <c r="F79" s="89"/>
      <c r="G79" s="89"/>
      <c r="H79" s="92">
        <v>3197726730.3499999</v>
      </c>
      <c r="I79" s="101">
        <v>2035052891.1800001</v>
      </c>
      <c r="J79" s="92"/>
    </row>
    <row r="80" spans="1:10" s="60" customFormat="1">
      <c r="A80" s="1" t="s">
        <v>31</v>
      </c>
      <c r="B80" s="1"/>
      <c r="C80" s="48"/>
      <c r="D80" s="48"/>
      <c r="E80" s="56">
        <v>9569395</v>
      </c>
      <c r="F80" s="89"/>
      <c r="G80" s="89"/>
      <c r="H80" s="92">
        <f>+E79-H79</f>
        <v>-923580849.71000051</v>
      </c>
      <c r="I80" s="107">
        <f>+E79-I79</f>
        <v>239092989.45999932</v>
      </c>
      <c r="J80" s="92"/>
    </row>
    <row r="81" spans="1:10">
      <c r="A81" s="3" t="s">
        <v>23</v>
      </c>
      <c r="B81" s="3"/>
      <c r="C81" s="49"/>
      <c r="D81" s="49"/>
      <c r="E81" s="54">
        <f>+'өр ав'!D5</f>
        <v>0</v>
      </c>
      <c r="F81" s="87"/>
      <c r="G81" s="87"/>
    </row>
    <row r="82" spans="1:10">
      <c r="A82" s="3" t="s">
        <v>24</v>
      </c>
      <c r="B82" s="3"/>
      <c r="C82" s="49"/>
      <c r="D82" s="49"/>
      <c r="E82" s="54">
        <f>+'өр ав'!E5</f>
        <v>3352715294.5500002</v>
      </c>
      <c r="F82" s="87"/>
      <c r="G82" s="87"/>
    </row>
    <row r="83" spans="1:10">
      <c r="A83" s="21" t="s">
        <v>235</v>
      </c>
      <c r="B83" s="21"/>
      <c r="C83" s="55">
        <f>+C84</f>
        <v>57</v>
      </c>
      <c r="D83" s="55"/>
      <c r="E83" s="4">
        <f>+E84</f>
        <v>57</v>
      </c>
      <c r="F83" s="87"/>
      <c r="G83" s="87"/>
    </row>
    <row r="84" spans="1:10">
      <c r="A84" s="21" t="s">
        <v>236</v>
      </c>
      <c r="B84" s="21"/>
      <c r="C84" s="52">
        <v>57</v>
      </c>
      <c r="D84" s="52"/>
      <c r="E84" s="4">
        <v>57</v>
      </c>
      <c r="F84" s="87"/>
      <c r="G84" s="87"/>
    </row>
    <row r="85" spans="1:10" s="60" customFormat="1">
      <c r="A85" s="20" t="s">
        <v>237</v>
      </c>
      <c r="B85" s="20"/>
      <c r="C85" s="55">
        <f>+C86+C87+C88+C89</f>
        <v>9443</v>
      </c>
      <c r="D85" s="55"/>
      <c r="E85" s="2">
        <f>+E86+E87+E88+E89</f>
        <v>9347</v>
      </c>
      <c r="F85" s="96"/>
      <c r="G85" s="89"/>
      <c r="H85" s="92"/>
      <c r="I85" s="101"/>
      <c r="J85" s="92"/>
    </row>
    <row r="86" spans="1:10">
      <c r="A86" s="21" t="s">
        <v>238</v>
      </c>
      <c r="B86" s="21"/>
      <c r="C86" s="52">
        <v>177</v>
      </c>
      <c r="D86" s="52"/>
      <c r="E86" s="4">
        <v>177</v>
      </c>
      <c r="F86" s="87"/>
      <c r="G86" s="87"/>
    </row>
    <row r="87" spans="1:10">
      <c r="A87" s="21" t="s">
        <v>239</v>
      </c>
      <c r="B87" s="21"/>
      <c r="C87" s="52">
        <v>8330</v>
      </c>
      <c r="D87" s="52"/>
      <c r="E87" s="4">
        <v>8234</v>
      </c>
      <c r="F87" s="87"/>
      <c r="G87" s="87"/>
    </row>
    <row r="88" spans="1:10">
      <c r="A88" s="21" t="s">
        <v>240</v>
      </c>
      <c r="B88" s="21"/>
      <c r="C88" s="52">
        <v>501</v>
      </c>
      <c r="D88" s="52"/>
      <c r="E88" s="4">
        <v>501</v>
      </c>
      <c r="F88" s="87"/>
      <c r="G88" s="87"/>
    </row>
    <row r="89" spans="1:10">
      <c r="A89" s="21" t="s">
        <v>241</v>
      </c>
      <c r="B89" s="21"/>
      <c r="C89" s="52">
        <v>435</v>
      </c>
      <c r="D89" s="52"/>
      <c r="E89" s="4">
        <v>435</v>
      </c>
      <c r="F89" s="87"/>
      <c r="G89" s="87"/>
    </row>
    <row r="90" spans="1:10">
      <c r="A90" s="57"/>
      <c r="B90" s="57"/>
      <c r="C90" s="58"/>
      <c r="D90" s="58"/>
      <c r="E90" s="68">
        <f>+E8-E74</f>
        <v>0</v>
      </c>
    </row>
    <row r="91" spans="1:10">
      <c r="A91" s="72" t="s">
        <v>245</v>
      </c>
      <c r="B91" s="97"/>
      <c r="C91" s="98"/>
      <c r="D91" s="98"/>
      <c r="E91" s="99"/>
    </row>
    <row r="92" spans="1:10" ht="26.25" customHeight="1">
      <c r="A92" s="132" t="s">
        <v>248</v>
      </c>
      <c r="B92" s="132"/>
      <c r="C92" s="132"/>
      <c r="D92" s="73"/>
      <c r="E92" s="104" t="s">
        <v>247</v>
      </c>
    </row>
    <row r="93" spans="1:10">
      <c r="A93" s="105"/>
      <c r="B93" s="105"/>
      <c r="C93" s="106"/>
      <c r="D93" s="106"/>
      <c r="E93" s="106"/>
    </row>
    <row r="94" spans="1:10">
      <c r="A94" s="74" t="s">
        <v>20</v>
      </c>
      <c r="B94" s="74"/>
      <c r="C94" s="74"/>
      <c r="D94" s="74"/>
      <c r="E94" s="74"/>
    </row>
    <row r="95" spans="1:10">
      <c r="A95" s="74" t="s">
        <v>295</v>
      </c>
      <c r="B95" s="74"/>
      <c r="C95" s="74"/>
      <c r="D95" s="74"/>
      <c r="E95" s="74" t="s">
        <v>26</v>
      </c>
    </row>
    <row r="96" spans="1:10">
      <c r="A96" s="74"/>
      <c r="B96" s="74"/>
      <c r="C96" s="74"/>
      <c r="D96" s="74"/>
      <c r="E96" s="74"/>
    </row>
    <row r="97" spans="1:5">
      <c r="A97" s="74" t="s">
        <v>21</v>
      </c>
      <c r="B97" s="74"/>
      <c r="C97" s="74"/>
      <c r="D97" s="74"/>
      <c r="E97" s="74"/>
    </row>
    <row r="98" spans="1:5">
      <c r="A98" s="74" t="s">
        <v>283</v>
      </c>
      <c r="B98" s="74"/>
      <c r="C98" s="74"/>
      <c r="D98" s="74"/>
      <c r="E98" s="74" t="s">
        <v>27</v>
      </c>
    </row>
    <row r="99" spans="1:5">
      <c r="A99" s="74" t="s">
        <v>306</v>
      </c>
      <c r="B99" s="74"/>
      <c r="C99" s="74"/>
      <c r="D99" s="74"/>
      <c r="E99" s="74"/>
    </row>
    <row r="100" spans="1:5">
      <c r="A100" s="74" t="s">
        <v>22</v>
      </c>
      <c r="B100" s="74"/>
      <c r="C100" s="74"/>
      <c r="D100" s="74"/>
      <c r="E100" s="74"/>
    </row>
    <row r="101" spans="1:5">
      <c r="A101" s="74" t="s">
        <v>250</v>
      </c>
      <c r="B101" s="74"/>
      <c r="C101" s="74"/>
      <c r="D101" s="74"/>
      <c r="E101" s="74" t="s">
        <v>28</v>
      </c>
    </row>
  </sheetData>
  <mergeCells count="2">
    <mergeCell ref="A1:E1"/>
    <mergeCell ref="A92:C92"/>
  </mergeCells>
  <pageMargins left="1.03" right="0.17" top="0.3" bottom="0.34" header="0.3" footer="0.3"/>
  <pageSetup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C23" sqref="C23"/>
    </sheetView>
  </sheetViews>
  <sheetFormatPr defaultColWidth="9.140625" defaultRowHeight="16.5"/>
  <cols>
    <col min="1" max="1" width="57.140625" style="53" customWidth="1"/>
    <col min="2" max="2" width="22.85546875" style="53" hidden="1" customWidth="1"/>
    <col min="3" max="3" width="21.28515625" style="43" customWidth="1"/>
    <col min="4" max="4" width="21.42578125" style="43" hidden="1" customWidth="1"/>
    <col min="5" max="5" width="21.42578125" style="43" customWidth="1"/>
    <col min="6" max="16384" width="9.140625" style="43"/>
  </cols>
  <sheetData>
    <row r="1" spans="1:5" ht="33.75" customHeight="1">
      <c r="A1" s="131" t="s">
        <v>373</v>
      </c>
      <c r="B1" s="131"/>
      <c r="C1" s="131"/>
      <c r="D1" s="131"/>
      <c r="E1" s="131"/>
    </row>
    <row r="4" spans="1:5" s="61" customFormat="1" ht="25.5">
      <c r="A4" s="44" t="s">
        <v>2</v>
      </c>
      <c r="B4" s="45" t="s">
        <v>251</v>
      </c>
      <c r="C4" s="45" t="s">
        <v>1</v>
      </c>
      <c r="D4" s="45" t="s">
        <v>254</v>
      </c>
      <c r="E4" s="45" t="s">
        <v>3</v>
      </c>
    </row>
    <row r="5" spans="1:5">
      <c r="A5" s="46" t="s">
        <v>291</v>
      </c>
      <c r="B5" s="46"/>
      <c r="C5" s="47"/>
      <c r="D5" s="47"/>
      <c r="E5" s="47"/>
    </row>
    <row r="6" spans="1:5" s="60" customFormat="1">
      <c r="A6" s="20" t="s">
        <v>227</v>
      </c>
      <c r="B6" s="48" t="e">
        <f>+B7+#REF!+#REF!</f>
        <v>#REF!</v>
      </c>
      <c r="C6" s="48">
        <f>+C7</f>
        <v>2690000000</v>
      </c>
      <c r="D6" s="48">
        <f t="shared" ref="D6:E6" si="0">+D7</f>
        <v>956818010</v>
      </c>
      <c r="E6" s="48">
        <f t="shared" si="0"/>
        <v>1087055754</v>
      </c>
    </row>
    <row r="7" spans="1:5" s="60" customFormat="1">
      <c r="A7" s="20" t="s">
        <v>228</v>
      </c>
      <c r="B7" s="48" t="e">
        <f>+#REF!+B8</f>
        <v>#REF!</v>
      </c>
      <c r="C7" s="48">
        <f>+C8</f>
        <v>2690000000</v>
      </c>
      <c r="D7" s="48">
        <f t="shared" ref="D7" si="1">+D8</f>
        <v>956818010</v>
      </c>
      <c r="E7" s="48">
        <f>+E8+E9</f>
        <v>1087055754</v>
      </c>
    </row>
    <row r="8" spans="1:5">
      <c r="A8" s="21" t="s">
        <v>255</v>
      </c>
      <c r="B8" s="69">
        <v>3647000000</v>
      </c>
      <c r="C8" s="49">
        <v>2690000000</v>
      </c>
      <c r="D8" s="49">
        <v>956818010</v>
      </c>
      <c r="E8" s="54">
        <v>1087055754</v>
      </c>
    </row>
    <row r="9" spans="1:5">
      <c r="A9" s="21" t="s">
        <v>281</v>
      </c>
      <c r="B9" s="69"/>
      <c r="C9" s="49"/>
      <c r="D9" s="49"/>
      <c r="E9" s="54"/>
    </row>
    <row r="10" spans="1:5" s="60" customFormat="1">
      <c r="A10" s="50" t="s">
        <v>0</v>
      </c>
      <c r="B10" s="48" t="e">
        <f t="shared" ref="B10:E11" si="2">+B11</f>
        <v>#REF!</v>
      </c>
      <c r="C10" s="48">
        <f t="shared" si="2"/>
        <v>2690000000</v>
      </c>
      <c r="D10" s="48" t="e">
        <f t="shared" si="2"/>
        <v>#REF!</v>
      </c>
      <c r="E10" s="48">
        <f t="shared" si="2"/>
        <v>1087055754</v>
      </c>
    </row>
    <row r="11" spans="1:5" s="60" customFormat="1">
      <c r="A11" s="20" t="s">
        <v>173</v>
      </c>
      <c r="B11" s="48" t="e">
        <f t="shared" si="2"/>
        <v>#REF!</v>
      </c>
      <c r="C11" s="48">
        <f t="shared" si="2"/>
        <v>2690000000</v>
      </c>
      <c r="D11" s="48" t="e">
        <f t="shared" si="2"/>
        <v>#REF!</v>
      </c>
      <c r="E11" s="48">
        <f t="shared" si="2"/>
        <v>1087055754</v>
      </c>
    </row>
    <row r="12" spans="1:5" s="60" customFormat="1">
      <c r="A12" s="20" t="s">
        <v>174</v>
      </c>
      <c r="B12" s="48" t="e">
        <f>+#REF!+#REF!+B13</f>
        <v>#REF!</v>
      </c>
      <c r="C12" s="48">
        <f>+C13</f>
        <v>2690000000</v>
      </c>
      <c r="D12" s="48" t="e">
        <f>+#REF!+#REF!+D13</f>
        <v>#REF!</v>
      </c>
      <c r="E12" s="48">
        <f>+E13</f>
        <v>1087055754</v>
      </c>
    </row>
    <row r="13" spans="1:5" s="60" customFormat="1">
      <c r="A13" s="20" t="s">
        <v>224</v>
      </c>
      <c r="B13" s="48">
        <f>+B14+B16</f>
        <v>3647000000</v>
      </c>
      <c r="C13" s="48">
        <f>+C14+C16+C15</f>
        <v>2690000000</v>
      </c>
      <c r="D13" s="48">
        <f>+D14+D16</f>
        <v>956818010</v>
      </c>
      <c r="E13" s="48">
        <f>+E14+E16</f>
        <v>1087055754</v>
      </c>
    </row>
    <row r="14" spans="1:5">
      <c r="A14" s="21" t="s">
        <v>225</v>
      </c>
      <c r="B14" s="69">
        <v>2000000000</v>
      </c>
      <c r="C14" s="49">
        <v>1600000000</v>
      </c>
      <c r="D14" s="71">
        <v>688865612</v>
      </c>
      <c r="E14" s="54">
        <v>887055754</v>
      </c>
    </row>
    <row r="15" spans="1:5">
      <c r="A15" s="21" t="s">
        <v>296</v>
      </c>
      <c r="B15" s="69"/>
      <c r="C15" s="49">
        <v>300000000</v>
      </c>
      <c r="D15" s="71"/>
      <c r="E15" s="54">
        <v>0</v>
      </c>
    </row>
    <row r="16" spans="1:5">
      <c r="A16" s="21" t="s">
        <v>226</v>
      </c>
      <c r="B16" s="69">
        <v>1647000000</v>
      </c>
      <c r="C16" s="49">
        <v>790000000</v>
      </c>
      <c r="D16" s="71">
        <v>267952398</v>
      </c>
      <c r="E16" s="54">
        <v>200000000</v>
      </c>
    </row>
    <row r="17" spans="1:5" s="60" customFormat="1">
      <c r="A17" s="1" t="s">
        <v>304</v>
      </c>
      <c r="B17" s="1"/>
      <c r="C17" s="48"/>
      <c r="D17" s="48"/>
      <c r="E17" s="56">
        <f>+E6-E10</f>
        <v>0</v>
      </c>
    </row>
    <row r="18" spans="1:5" s="60" customFormat="1">
      <c r="A18" s="1" t="s">
        <v>44</v>
      </c>
      <c r="B18" s="1"/>
      <c r="C18" s="48"/>
      <c r="D18" s="48"/>
      <c r="E18" s="56">
        <f>+E17-E19</f>
        <v>0</v>
      </c>
    </row>
    <row r="19" spans="1:5" s="60" customFormat="1">
      <c r="A19" s="1" t="s">
        <v>31</v>
      </c>
      <c r="B19" s="1"/>
      <c r="C19" s="48"/>
      <c r="D19" s="48"/>
      <c r="E19" s="56">
        <v>0</v>
      </c>
    </row>
    <row r="20" spans="1:5">
      <c r="A20" s="3" t="s">
        <v>23</v>
      </c>
      <c r="B20" s="3"/>
      <c r="C20" s="49"/>
      <c r="D20" s="49"/>
      <c r="E20" s="54"/>
    </row>
    <row r="21" spans="1:5">
      <c r="A21" s="3" t="s">
        <v>24</v>
      </c>
      <c r="B21" s="3"/>
      <c r="C21" s="49"/>
      <c r="D21" s="49"/>
      <c r="E21" s="54"/>
    </row>
    <row r="22" spans="1:5">
      <c r="A22" s="84"/>
      <c r="B22" s="84"/>
      <c r="C22" s="85"/>
      <c r="D22" s="85"/>
      <c r="E22" s="59"/>
    </row>
    <row r="23" spans="1:5" s="120" customFormat="1">
      <c r="A23" s="84"/>
      <c r="B23" s="84"/>
      <c r="C23" s="85"/>
      <c r="D23" s="85"/>
      <c r="E23" s="119"/>
    </row>
    <row r="24" spans="1:5" s="120" customFormat="1">
      <c r="A24" s="84"/>
      <c r="B24" s="84"/>
      <c r="C24" s="85"/>
      <c r="D24" s="85"/>
      <c r="E24" s="119"/>
    </row>
    <row r="25" spans="1:5" s="120" customFormat="1">
      <c r="A25" s="57"/>
      <c r="B25" s="57"/>
      <c r="C25" s="58"/>
      <c r="D25" s="58"/>
      <c r="E25" s="121"/>
    </row>
    <row r="26" spans="1:5" s="120" customFormat="1">
      <c r="A26" s="72" t="s">
        <v>245</v>
      </c>
      <c r="B26" s="72"/>
      <c r="C26" s="73"/>
      <c r="D26" s="73"/>
      <c r="E26" s="122"/>
    </row>
    <row r="27" spans="1:5" s="120" customFormat="1" ht="26.25" customHeight="1">
      <c r="A27" s="132" t="s">
        <v>248</v>
      </c>
      <c r="B27" s="132"/>
      <c r="C27" s="132"/>
      <c r="D27" s="73"/>
      <c r="E27" s="104" t="s">
        <v>247</v>
      </c>
    </row>
    <row r="28" spans="1:5" s="120" customFormat="1">
      <c r="A28" s="105"/>
      <c r="B28" s="105"/>
      <c r="C28" s="106"/>
      <c r="D28" s="106"/>
      <c r="E28" s="106"/>
    </row>
    <row r="29" spans="1:5">
      <c r="A29" s="74" t="s">
        <v>20</v>
      </c>
      <c r="B29" s="74"/>
      <c r="C29" s="74"/>
      <c r="D29" s="74"/>
      <c r="E29" s="74"/>
    </row>
    <row r="30" spans="1:5">
      <c r="A30" s="74" t="s">
        <v>295</v>
      </c>
      <c r="B30" s="74"/>
      <c r="C30" s="74"/>
      <c r="D30" s="74"/>
      <c r="E30" s="74" t="s">
        <v>26</v>
      </c>
    </row>
    <row r="31" spans="1:5">
      <c r="A31" s="74"/>
      <c r="B31" s="74"/>
      <c r="C31" s="74"/>
      <c r="D31" s="74"/>
      <c r="E31" s="74"/>
    </row>
    <row r="32" spans="1:5">
      <c r="A32" s="74" t="s">
        <v>21</v>
      </c>
      <c r="B32" s="74"/>
      <c r="C32" s="74"/>
      <c r="D32" s="74"/>
      <c r="E32" s="74"/>
    </row>
    <row r="33" spans="1:5">
      <c r="A33" s="74" t="s">
        <v>256</v>
      </c>
      <c r="B33" s="74"/>
      <c r="C33" s="74"/>
      <c r="D33" s="74"/>
      <c r="E33" s="74" t="s">
        <v>27</v>
      </c>
    </row>
    <row r="34" spans="1:5">
      <c r="A34" s="74"/>
      <c r="B34" s="74"/>
      <c r="C34" s="74"/>
      <c r="D34" s="74"/>
      <c r="E34" s="74"/>
    </row>
    <row r="35" spans="1:5">
      <c r="A35" s="74" t="s">
        <v>22</v>
      </c>
      <c r="B35" s="74"/>
      <c r="C35" s="74"/>
      <c r="D35" s="74"/>
      <c r="E35" s="74"/>
    </row>
    <row r="36" spans="1:5">
      <c r="A36" s="74" t="s">
        <v>250</v>
      </c>
      <c r="B36" s="74"/>
      <c r="C36" s="74"/>
      <c r="D36" s="74"/>
      <c r="E36" s="74" t="s">
        <v>28</v>
      </c>
    </row>
  </sheetData>
  <mergeCells count="2">
    <mergeCell ref="A1:E1"/>
    <mergeCell ref="A27:C27"/>
  </mergeCells>
  <pageMargins left="0.87" right="0.27" top="0.75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өр ав</vt:lpstr>
      <vt:lpstr>өр авлага нэгтгэл</vt:lpstr>
      <vt:lpstr>үндсэн</vt:lpstr>
      <vt:lpstr>хөрөнгө оруулалт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Энхтуяа.Б а/д ЦЕГ, СХГ</cp:lastModifiedBy>
  <cp:lastPrinted>2016-09-05T09:31:31Z</cp:lastPrinted>
  <dcterms:created xsi:type="dcterms:W3CDTF">2015-02-03T12:04:18Z</dcterms:created>
  <dcterms:modified xsi:type="dcterms:W3CDTF">2016-10-03T02:40:46Z</dcterms:modified>
</cp:coreProperties>
</file>